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FSP\Desktop\PEP Matriz\"/>
    </mc:Choice>
  </mc:AlternateContent>
  <xr:revisionPtr revIDLastSave="0" documentId="13_ncr:1_{A3063103-8CFA-4353-952E-64CD9612197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DOS BASE" sheetId="1" r:id="rId1"/>
    <sheet name="MATRIZ COMPLETO PROPOSTA" sheetId="2" r:id="rId2"/>
    <sheet name="MATRIZ RESUMO PROPOSTA" sheetId="3" r:id="rId3"/>
    <sheet name="INDICADORES" sheetId="4" r:id="rId4"/>
  </sheets>
  <definedNames>
    <definedName name="_xlnm._FilterDatabase" localSheetId="1" hidden="1">'MATRIZ COMPLETO PROPOSTA'!$A$8:$BF$8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53" i="4" l="1"/>
  <c r="W53" i="4"/>
  <c r="U53" i="4"/>
  <c r="Q53" i="4"/>
  <c r="Y52" i="4"/>
  <c r="W52" i="4"/>
  <c r="U52" i="4"/>
  <c r="Q52" i="4"/>
  <c r="Y51" i="4"/>
  <c r="W51" i="4"/>
  <c r="U51" i="4"/>
  <c r="Q51" i="4"/>
  <c r="Y50" i="4"/>
  <c r="W50" i="4"/>
  <c r="U50" i="4"/>
  <c r="Q50" i="4"/>
  <c r="Y49" i="4"/>
  <c r="W49" i="4"/>
  <c r="U49" i="4"/>
  <c r="Q49" i="4"/>
  <c r="Y48" i="4"/>
  <c r="W48" i="4"/>
  <c r="U48" i="4"/>
  <c r="Q48" i="4"/>
  <c r="Y47" i="4"/>
  <c r="W47" i="4"/>
  <c r="U47" i="4"/>
  <c r="Q47" i="4"/>
  <c r="Y46" i="4"/>
  <c r="W46" i="4"/>
  <c r="U46" i="4"/>
  <c r="Q46" i="4"/>
  <c r="Y45" i="4"/>
  <c r="W45" i="4"/>
  <c r="U45" i="4"/>
  <c r="Q45" i="4"/>
  <c r="Y44" i="4"/>
  <c r="W44" i="4"/>
  <c r="U44" i="4"/>
  <c r="Q44" i="4"/>
  <c r="Y43" i="4"/>
  <c r="W43" i="4"/>
  <c r="U43" i="4"/>
  <c r="Q43" i="4"/>
  <c r="Y42" i="4"/>
  <c r="W42" i="4"/>
  <c r="U42" i="4"/>
  <c r="Q42" i="4"/>
  <c r="Y41" i="4"/>
  <c r="W41" i="4"/>
  <c r="U41" i="4"/>
  <c r="Q41" i="4"/>
  <c r="Y40" i="4"/>
  <c r="W40" i="4"/>
  <c r="U40" i="4"/>
  <c r="Q40" i="4"/>
  <c r="Y39" i="4"/>
  <c r="W39" i="4"/>
  <c r="U39" i="4"/>
  <c r="Q39" i="4"/>
  <c r="Y38" i="4"/>
  <c r="W38" i="4"/>
  <c r="U38" i="4"/>
  <c r="Q38" i="4"/>
  <c r="Y37" i="4"/>
  <c r="W37" i="4"/>
  <c r="U37" i="4"/>
  <c r="Q37" i="4"/>
  <c r="Y36" i="4"/>
  <c r="W36" i="4"/>
  <c r="U36" i="4"/>
  <c r="Q36" i="4"/>
  <c r="Y35" i="4"/>
  <c r="W35" i="4"/>
  <c r="U35" i="4"/>
  <c r="Q35" i="4"/>
  <c r="Y34" i="4"/>
  <c r="W34" i="4"/>
  <c r="U34" i="4"/>
  <c r="Q34" i="4"/>
  <c r="Y33" i="4"/>
  <c r="W33" i="4"/>
  <c r="U33" i="4"/>
  <c r="Q33" i="4"/>
  <c r="Y32" i="4"/>
  <c r="W32" i="4"/>
  <c r="U32" i="4"/>
  <c r="Q32" i="4"/>
  <c r="Y31" i="4"/>
  <c r="W31" i="4"/>
  <c r="U31" i="4"/>
  <c r="Q31" i="4"/>
  <c r="Y30" i="4"/>
  <c r="W30" i="4"/>
  <c r="U30" i="4"/>
  <c r="Q30" i="4"/>
  <c r="Y29" i="4"/>
  <c r="W29" i="4"/>
  <c r="U29" i="4"/>
  <c r="Q29" i="4"/>
  <c r="Y28" i="4"/>
  <c r="W28" i="4"/>
  <c r="U28" i="4"/>
  <c r="Q28" i="4"/>
  <c r="Y27" i="4"/>
  <c r="W27" i="4"/>
  <c r="U27" i="4"/>
  <c r="Q27" i="4"/>
  <c r="Y26" i="4"/>
  <c r="W26" i="4"/>
  <c r="U26" i="4"/>
  <c r="Q26" i="4"/>
  <c r="Y25" i="4"/>
  <c r="W25" i="4"/>
  <c r="U25" i="4"/>
  <c r="Q25" i="4"/>
  <c r="Y24" i="4"/>
  <c r="W24" i="4"/>
  <c r="U24" i="4"/>
  <c r="Q24" i="4"/>
  <c r="Y23" i="4"/>
  <c r="W23" i="4"/>
  <c r="U23" i="4"/>
  <c r="Q23" i="4"/>
  <c r="Y22" i="4"/>
  <c r="W22" i="4"/>
  <c r="U22" i="4"/>
  <c r="Q22" i="4"/>
  <c r="Y21" i="4"/>
  <c r="W21" i="4"/>
  <c r="U21" i="4"/>
  <c r="Q21" i="4"/>
  <c r="Y20" i="4"/>
  <c r="W20" i="4"/>
  <c r="U20" i="4"/>
  <c r="Q20" i="4"/>
  <c r="Y19" i="4"/>
  <c r="W19" i="4"/>
  <c r="U19" i="4"/>
  <c r="Q19" i="4"/>
  <c r="Y18" i="4"/>
  <c r="W18" i="4"/>
  <c r="U18" i="4"/>
  <c r="Q18" i="4"/>
  <c r="Y17" i="4"/>
  <c r="W17" i="4"/>
  <c r="U17" i="4"/>
  <c r="Q17" i="4"/>
  <c r="Y16" i="4"/>
  <c r="W16" i="4"/>
  <c r="U16" i="4"/>
  <c r="Q16" i="4"/>
  <c r="Y15" i="4"/>
  <c r="W15" i="4"/>
  <c r="U15" i="4"/>
  <c r="Q15" i="4"/>
  <c r="Y14" i="4"/>
  <c r="W14" i="4"/>
  <c r="U14" i="4"/>
  <c r="Q14" i="4"/>
  <c r="Y13" i="4"/>
  <c r="W13" i="4"/>
  <c r="U13" i="4"/>
  <c r="Q13" i="4"/>
  <c r="X10" i="4"/>
  <c r="V10" i="4"/>
  <c r="T10" i="4"/>
  <c r="M761" i="3"/>
  <c r="M720" i="3"/>
  <c r="M707" i="3"/>
  <c r="M681" i="3"/>
  <c r="M663" i="3"/>
  <c r="M645" i="3"/>
  <c r="M631" i="3"/>
  <c r="M611" i="3"/>
  <c r="M603" i="3"/>
  <c r="M590" i="3"/>
  <c r="M565" i="3"/>
  <c r="M549" i="3"/>
  <c r="M531" i="3"/>
  <c r="M514" i="3"/>
  <c r="M503" i="3"/>
  <c r="M474" i="3"/>
  <c r="M451" i="3"/>
  <c r="M441" i="3"/>
  <c r="M422" i="3"/>
  <c r="M398" i="3"/>
  <c r="M377" i="3"/>
  <c r="M355" i="3"/>
  <c r="M342" i="3"/>
  <c r="M330" i="3"/>
  <c r="M318" i="3"/>
  <c r="M305" i="3"/>
  <c r="M289" i="3"/>
  <c r="M268" i="3"/>
  <c r="M256" i="3"/>
  <c r="M223" i="3"/>
  <c r="M208" i="3"/>
  <c r="M191" i="3"/>
  <c r="M165" i="3"/>
  <c r="M152" i="3"/>
  <c r="M116" i="3"/>
  <c r="M91" i="3"/>
  <c r="M73" i="3"/>
  <c r="M64" i="3"/>
  <c r="M44" i="3"/>
  <c r="M25" i="3"/>
  <c r="M16" i="3"/>
  <c r="C3" i="3"/>
  <c r="AW773" i="2"/>
  <c r="AY773" i="2" s="1"/>
  <c r="AQ773" i="2"/>
  <c r="AI773" i="2"/>
  <c r="AW772" i="2"/>
  <c r="AY772" i="2" s="1"/>
  <c r="AQ772" i="2"/>
  <c r="AI772" i="2"/>
  <c r="AW771" i="2"/>
  <c r="AY771" i="2" s="1"/>
  <c r="AQ771" i="2"/>
  <c r="AI771" i="2"/>
  <c r="AW770" i="2"/>
  <c r="AQ770" i="2"/>
  <c r="AI770" i="2"/>
  <c r="AW769" i="2"/>
  <c r="AY769" i="2" s="1"/>
  <c r="AQ769" i="2"/>
  <c r="AI769" i="2"/>
  <c r="AW768" i="2"/>
  <c r="AY768" i="2" s="1"/>
  <c r="AQ768" i="2"/>
  <c r="AI768" i="2"/>
  <c r="AW767" i="2"/>
  <c r="AY767" i="2" s="1"/>
  <c r="AQ767" i="2"/>
  <c r="AI767" i="2"/>
  <c r="AW766" i="2"/>
  <c r="AY766" i="2" s="1"/>
  <c r="AQ766" i="2"/>
  <c r="AI766" i="2"/>
  <c r="AW765" i="2"/>
  <c r="AY765" i="2" s="1"/>
  <c r="AQ765" i="2"/>
  <c r="AI765" i="2"/>
  <c r="AW764" i="2"/>
  <c r="AY764" i="2" s="1"/>
  <c r="AQ764" i="2"/>
  <c r="AI764" i="2"/>
  <c r="AW763" i="2"/>
  <c r="AY763" i="2" s="1"/>
  <c r="AQ763" i="2"/>
  <c r="AI763" i="2"/>
  <c r="AW762" i="2"/>
  <c r="AY762" i="2" s="1"/>
  <c r="AQ762" i="2"/>
  <c r="AI762" i="2"/>
  <c r="BC760" i="2"/>
  <c r="AV760" i="2"/>
  <c r="AU760" i="2"/>
  <c r="AF760" i="2"/>
  <c r="AE760" i="2"/>
  <c r="S760" i="2"/>
  <c r="P760" i="2"/>
  <c r="L760" i="2"/>
  <c r="AW758" i="2"/>
  <c r="AY758" i="2" s="1"/>
  <c r="AQ758" i="2"/>
  <c r="AI758" i="2"/>
  <c r="AW757" i="2"/>
  <c r="AY757" i="2" s="1"/>
  <c r="AQ757" i="2"/>
  <c r="AI757" i="2"/>
  <c r="AW756" i="2"/>
  <c r="AY756" i="2" s="1"/>
  <c r="AQ756" i="2"/>
  <c r="AI756" i="2"/>
  <c r="AW755" i="2"/>
  <c r="AY755" i="2" s="1"/>
  <c r="AQ755" i="2"/>
  <c r="AI755" i="2"/>
  <c r="AW754" i="2"/>
  <c r="AY754" i="2" s="1"/>
  <c r="AQ754" i="2"/>
  <c r="AI754" i="2"/>
  <c r="AW753" i="2"/>
  <c r="AY753" i="2" s="1"/>
  <c r="AQ753" i="2"/>
  <c r="AI753" i="2"/>
  <c r="AW752" i="2"/>
  <c r="AY752" i="2" s="1"/>
  <c r="AQ752" i="2"/>
  <c r="AI752" i="2"/>
  <c r="AW751" i="2"/>
  <c r="AY751" i="2" s="1"/>
  <c r="AQ751" i="2"/>
  <c r="AI751" i="2"/>
  <c r="AW750" i="2"/>
  <c r="AY750" i="2" s="1"/>
  <c r="AQ750" i="2"/>
  <c r="AI750" i="2"/>
  <c r="AW749" i="2"/>
  <c r="AY749" i="2" s="1"/>
  <c r="AQ749" i="2"/>
  <c r="AI749" i="2"/>
  <c r="AW748" i="2"/>
  <c r="AY748" i="2" s="1"/>
  <c r="AQ748" i="2"/>
  <c r="AI748" i="2"/>
  <c r="AW747" i="2"/>
  <c r="AY747" i="2" s="1"/>
  <c r="AQ747" i="2"/>
  <c r="AI747" i="2"/>
  <c r="AW746" i="2"/>
  <c r="AY746" i="2" s="1"/>
  <c r="AQ746" i="2"/>
  <c r="AI746" i="2"/>
  <c r="AW745" i="2"/>
  <c r="AY745" i="2" s="1"/>
  <c r="AQ745" i="2"/>
  <c r="AI745" i="2"/>
  <c r="AW744" i="2"/>
  <c r="AY744" i="2" s="1"/>
  <c r="AQ744" i="2"/>
  <c r="AI744" i="2"/>
  <c r="AW743" i="2"/>
  <c r="AY743" i="2" s="1"/>
  <c r="AQ743" i="2"/>
  <c r="AI743" i="2"/>
  <c r="AW742" i="2"/>
  <c r="AY742" i="2" s="1"/>
  <c r="AQ742" i="2"/>
  <c r="AI742" i="2"/>
  <c r="AW741" i="2"/>
  <c r="AY741" i="2" s="1"/>
  <c r="AQ741" i="2"/>
  <c r="AI741" i="2"/>
  <c r="AW740" i="2"/>
  <c r="AY740" i="2" s="1"/>
  <c r="AQ740" i="2"/>
  <c r="AI740" i="2"/>
  <c r="AW739" i="2"/>
  <c r="AY739" i="2" s="1"/>
  <c r="AQ739" i="2"/>
  <c r="AI739" i="2"/>
  <c r="AW738" i="2"/>
  <c r="AY738" i="2" s="1"/>
  <c r="AQ738" i="2"/>
  <c r="AI738" i="2"/>
  <c r="AW737" i="2"/>
  <c r="AY737" i="2" s="1"/>
  <c r="AQ737" i="2"/>
  <c r="AI737" i="2"/>
  <c r="AW736" i="2"/>
  <c r="AY736" i="2" s="1"/>
  <c r="AQ736" i="2"/>
  <c r="AI736" i="2"/>
  <c r="AW735" i="2"/>
  <c r="AY735" i="2" s="1"/>
  <c r="AQ735" i="2"/>
  <c r="AI735" i="2"/>
  <c r="AW734" i="2"/>
  <c r="AY734" i="2" s="1"/>
  <c r="AQ734" i="2"/>
  <c r="AI734" i="2"/>
  <c r="AW733" i="2"/>
  <c r="AY733" i="2" s="1"/>
  <c r="AQ733" i="2"/>
  <c r="AI733" i="2"/>
  <c r="AW732" i="2"/>
  <c r="AY732" i="2" s="1"/>
  <c r="AQ732" i="2"/>
  <c r="AI732" i="2"/>
  <c r="AW731" i="2"/>
  <c r="AY731" i="2" s="1"/>
  <c r="AQ731" i="2"/>
  <c r="AI731" i="2"/>
  <c r="AW730" i="2"/>
  <c r="AY730" i="2" s="1"/>
  <c r="AQ730" i="2"/>
  <c r="AI730" i="2"/>
  <c r="AW729" i="2"/>
  <c r="AY729" i="2" s="1"/>
  <c r="AQ729" i="2"/>
  <c r="AI729" i="2"/>
  <c r="AW728" i="2"/>
  <c r="AY728" i="2" s="1"/>
  <c r="AQ728" i="2"/>
  <c r="AI728" i="2"/>
  <c r="AW727" i="2"/>
  <c r="AY727" i="2" s="1"/>
  <c r="AQ727" i="2"/>
  <c r="AI727" i="2"/>
  <c r="AW726" i="2"/>
  <c r="AY726" i="2" s="1"/>
  <c r="AQ726" i="2"/>
  <c r="AI726" i="2"/>
  <c r="AW725" i="2"/>
  <c r="AY725" i="2" s="1"/>
  <c r="AQ725" i="2"/>
  <c r="AI725" i="2"/>
  <c r="AW724" i="2"/>
  <c r="AY724" i="2" s="1"/>
  <c r="AQ724" i="2"/>
  <c r="AI724" i="2"/>
  <c r="AW723" i="2"/>
  <c r="AY723" i="2" s="1"/>
  <c r="AQ723" i="2"/>
  <c r="AI723" i="2"/>
  <c r="AW722" i="2"/>
  <c r="AY722" i="2" s="1"/>
  <c r="AQ722" i="2"/>
  <c r="AI722" i="2"/>
  <c r="AW721" i="2"/>
  <c r="AQ721" i="2"/>
  <c r="AI721" i="2"/>
  <c r="BC719" i="2"/>
  <c r="AV719" i="2"/>
  <c r="AU719" i="2"/>
  <c r="AF719" i="2"/>
  <c r="AE719" i="2"/>
  <c r="S719" i="2"/>
  <c r="P719" i="2"/>
  <c r="L719" i="2"/>
  <c r="AW717" i="2"/>
  <c r="AY717" i="2" s="1"/>
  <c r="AQ717" i="2"/>
  <c r="AI717" i="2"/>
  <c r="AW716" i="2"/>
  <c r="AY716" i="2" s="1"/>
  <c r="AQ716" i="2"/>
  <c r="AI716" i="2"/>
  <c r="AW715" i="2"/>
  <c r="AY715" i="2" s="1"/>
  <c r="AQ715" i="2"/>
  <c r="AI715" i="2"/>
  <c r="AW714" i="2"/>
  <c r="AY714" i="2" s="1"/>
  <c r="AQ714" i="2"/>
  <c r="AI714" i="2"/>
  <c r="AW713" i="2"/>
  <c r="AY713" i="2" s="1"/>
  <c r="AQ713" i="2"/>
  <c r="AI713" i="2"/>
  <c r="AW712" i="2"/>
  <c r="AY712" i="2" s="1"/>
  <c r="AQ712" i="2"/>
  <c r="AI712" i="2"/>
  <c r="AW711" i="2"/>
  <c r="AY711" i="2" s="1"/>
  <c r="AQ711" i="2"/>
  <c r="AI711" i="2"/>
  <c r="AW710" i="2"/>
  <c r="AY710" i="2" s="1"/>
  <c r="AQ710" i="2"/>
  <c r="AI710" i="2"/>
  <c r="AW709" i="2"/>
  <c r="AY709" i="2" s="1"/>
  <c r="AQ709" i="2"/>
  <c r="AI709" i="2"/>
  <c r="AW708" i="2"/>
  <c r="AQ708" i="2"/>
  <c r="AI708" i="2"/>
  <c r="BC706" i="2"/>
  <c r="AV706" i="2"/>
  <c r="AU706" i="2"/>
  <c r="AF706" i="2"/>
  <c r="AE706" i="2"/>
  <c r="S706" i="2"/>
  <c r="P706" i="2"/>
  <c r="L706" i="2"/>
  <c r="AW704" i="2"/>
  <c r="AY704" i="2" s="1"/>
  <c r="AQ704" i="2"/>
  <c r="AI704" i="2"/>
  <c r="AW703" i="2"/>
  <c r="AY703" i="2" s="1"/>
  <c r="AQ703" i="2"/>
  <c r="AI703" i="2"/>
  <c r="AW702" i="2"/>
  <c r="AQ702" i="2"/>
  <c r="AI702" i="2"/>
  <c r="AW701" i="2"/>
  <c r="AY701" i="2" s="1"/>
  <c r="AQ701" i="2"/>
  <c r="AI701" i="2"/>
  <c r="AW700" i="2"/>
  <c r="AY700" i="2" s="1"/>
  <c r="AQ700" i="2"/>
  <c r="AI700" i="2"/>
  <c r="AW699" i="2"/>
  <c r="AY699" i="2" s="1"/>
  <c r="AQ699" i="2"/>
  <c r="AI699" i="2"/>
  <c r="AW698" i="2"/>
  <c r="AY698" i="2" s="1"/>
  <c r="AQ698" i="2"/>
  <c r="AI698" i="2"/>
  <c r="AW697" i="2"/>
  <c r="AY697" i="2" s="1"/>
  <c r="AQ697" i="2"/>
  <c r="AI697" i="2"/>
  <c r="AW696" i="2"/>
  <c r="AY696" i="2" s="1"/>
  <c r="AQ696" i="2"/>
  <c r="AI696" i="2"/>
  <c r="AW695" i="2"/>
  <c r="AY695" i="2" s="1"/>
  <c r="AQ695" i="2"/>
  <c r="AI695" i="2"/>
  <c r="AW694" i="2"/>
  <c r="AY694" i="2" s="1"/>
  <c r="AQ694" i="2"/>
  <c r="AI694" i="2"/>
  <c r="AW693" i="2"/>
  <c r="AY693" i="2" s="1"/>
  <c r="AQ693" i="2"/>
  <c r="AI693" i="2"/>
  <c r="AW692" i="2"/>
  <c r="AY692" i="2" s="1"/>
  <c r="AQ692" i="2"/>
  <c r="AI692" i="2"/>
  <c r="AW691" i="2"/>
  <c r="AY691" i="2" s="1"/>
  <c r="AQ691" i="2"/>
  <c r="AI691" i="2"/>
  <c r="AW690" i="2"/>
  <c r="AY690" i="2" s="1"/>
  <c r="AQ690" i="2"/>
  <c r="AI690" i="2"/>
  <c r="AW689" i="2"/>
  <c r="AY689" i="2" s="1"/>
  <c r="AQ689" i="2"/>
  <c r="AI689" i="2"/>
  <c r="AW688" i="2"/>
  <c r="AY688" i="2" s="1"/>
  <c r="AQ688" i="2"/>
  <c r="AI688" i="2"/>
  <c r="AW687" i="2"/>
  <c r="AY687" i="2" s="1"/>
  <c r="AQ687" i="2"/>
  <c r="AI687" i="2"/>
  <c r="AW686" i="2"/>
  <c r="AY686" i="2" s="1"/>
  <c r="AQ686" i="2"/>
  <c r="AI686" i="2"/>
  <c r="AW685" i="2"/>
  <c r="AY685" i="2" s="1"/>
  <c r="AQ685" i="2"/>
  <c r="AI685" i="2"/>
  <c r="AW684" i="2"/>
  <c r="AY684" i="2" s="1"/>
  <c r="AQ684" i="2"/>
  <c r="AI684" i="2"/>
  <c r="AW683" i="2"/>
  <c r="AY683" i="2" s="1"/>
  <c r="AQ683" i="2"/>
  <c r="AI683" i="2"/>
  <c r="AW682" i="2"/>
  <c r="AY682" i="2" s="1"/>
  <c r="AQ682" i="2"/>
  <c r="AI682" i="2"/>
  <c r="BC680" i="2"/>
  <c r="AV680" i="2"/>
  <c r="AU680" i="2"/>
  <c r="AF680" i="2"/>
  <c r="AE680" i="2"/>
  <c r="S680" i="2"/>
  <c r="P680" i="2"/>
  <c r="L680" i="2"/>
  <c r="AW678" i="2"/>
  <c r="AY678" i="2" s="1"/>
  <c r="AQ678" i="2"/>
  <c r="AI678" i="2"/>
  <c r="AW677" i="2"/>
  <c r="AY677" i="2" s="1"/>
  <c r="AQ677" i="2"/>
  <c r="AI677" i="2"/>
  <c r="AW676" i="2"/>
  <c r="AY676" i="2" s="1"/>
  <c r="AQ676" i="2"/>
  <c r="AI676" i="2"/>
  <c r="AW675" i="2"/>
  <c r="AY675" i="2" s="1"/>
  <c r="AQ675" i="2"/>
  <c r="AI675" i="2"/>
  <c r="AW674" i="2"/>
  <c r="AY674" i="2" s="1"/>
  <c r="AQ674" i="2"/>
  <c r="AI674" i="2"/>
  <c r="AW673" i="2"/>
  <c r="AY673" i="2" s="1"/>
  <c r="AQ673" i="2"/>
  <c r="AI673" i="2"/>
  <c r="AW672" i="2"/>
  <c r="AY672" i="2" s="1"/>
  <c r="AQ672" i="2"/>
  <c r="AI672" i="2"/>
  <c r="AW671" i="2"/>
  <c r="AY671" i="2" s="1"/>
  <c r="AQ671" i="2"/>
  <c r="AI671" i="2"/>
  <c r="AW670" i="2"/>
  <c r="AY670" i="2" s="1"/>
  <c r="AQ670" i="2"/>
  <c r="AI670" i="2"/>
  <c r="AW669" i="2"/>
  <c r="AY669" i="2" s="1"/>
  <c r="AQ669" i="2"/>
  <c r="AI669" i="2"/>
  <c r="AW668" i="2"/>
  <c r="AY668" i="2" s="1"/>
  <c r="AQ668" i="2"/>
  <c r="AI668" i="2"/>
  <c r="AW667" i="2"/>
  <c r="AY667" i="2" s="1"/>
  <c r="AQ667" i="2"/>
  <c r="AI667" i="2"/>
  <c r="AW666" i="2"/>
  <c r="AY666" i="2" s="1"/>
  <c r="AQ666" i="2"/>
  <c r="AI666" i="2"/>
  <c r="AW665" i="2"/>
  <c r="AQ665" i="2"/>
  <c r="AI665" i="2"/>
  <c r="AW664" i="2"/>
  <c r="AY664" i="2" s="1"/>
  <c r="AQ664" i="2"/>
  <c r="AI664" i="2"/>
  <c r="BC662" i="2"/>
  <c r="AV662" i="2"/>
  <c r="AU662" i="2"/>
  <c r="AF662" i="2"/>
  <c r="AE662" i="2"/>
  <c r="S662" i="2"/>
  <c r="P662" i="2"/>
  <c r="L662" i="2"/>
  <c r="AW660" i="2"/>
  <c r="AY660" i="2" s="1"/>
  <c r="AQ660" i="2"/>
  <c r="AI660" i="2"/>
  <c r="AW659" i="2"/>
  <c r="AY659" i="2" s="1"/>
  <c r="AQ659" i="2"/>
  <c r="AI659" i="2"/>
  <c r="AW658" i="2"/>
  <c r="AY658" i="2" s="1"/>
  <c r="AQ658" i="2"/>
  <c r="AI658" i="2"/>
  <c r="AW657" i="2"/>
  <c r="AY657" i="2" s="1"/>
  <c r="AQ657" i="2"/>
  <c r="AI657" i="2"/>
  <c r="AW656" i="2"/>
  <c r="AY656" i="2" s="1"/>
  <c r="AQ656" i="2"/>
  <c r="AI656" i="2"/>
  <c r="AW655" i="2"/>
  <c r="AY655" i="2" s="1"/>
  <c r="AQ655" i="2"/>
  <c r="AI655" i="2"/>
  <c r="AW654" i="2"/>
  <c r="AY654" i="2" s="1"/>
  <c r="AQ654" i="2"/>
  <c r="AI654" i="2"/>
  <c r="AW653" i="2"/>
  <c r="AQ653" i="2"/>
  <c r="AI653" i="2"/>
  <c r="AW652" i="2"/>
  <c r="AY652" i="2" s="1"/>
  <c r="AQ652" i="2"/>
  <c r="AI652" i="2"/>
  <c r="AW651" i="2"/>
  <c r="AY651" i="2" s="1"/>
  <c r="AQ651" i="2"/>
  <c r="AI651" i="2"/>
  <c r="AW650" i="2"/>
  <c r="AY650" i="2" s="1"/>
  <c r="AQ650" i="2"/>
  <c r="AI650" i="2"/>
  <c r="AW649" i="2"/>
  <c r="AY649" i="2" s="1"/>
  <c r="AQ649" i="2"/>
  <c r="AI649" i="2"/>
  <c r="AW648" i="2"/>
  <c r="AY648" i="2" s="1"/>
  <c r="AQ648" i="2"/>
  <c r="AI648" i="2"/>
  <c r="AW647" i="2"/>
  <c r="AY647" i="2" s="1"/>
  <c r="AQ647" i="2"/>
  <c r="AI647" i="2"/>
  <c r="AW646" i="2"/>
  <c r="AY646" i="2" s="1"/>
  <c r="AQ646" i="2"/>
  <c r="AI646" i="2"/>
  <c r="BC644" i="2"/>
  <c r="AV644" i="2"/>
  <c r="AU644" i="2"/>
  <c r="AF644" i="2"/>
  <c r="AE644" i="2"/>
  <c r="S644" i="2"/>
  <c r="P644" i="2"/>
  <c r="L644" i="2"/>
  <c r="AW642" i="2"/>
  <c r="AY642" i="2" s="1"/>
  <c r="AQ642" i="2"/>
  <c r="AI642" i="2"/>
  <c r="AW641" i="2"/>
  <c r="AY641" i="2" s="1"/>
  <c r="AQ641" i="2"/>
  <c r="AI641" i="2"/>
  <c r="AW640" i="2"/>
  <c r="AY640" i="2" s="1"/>
  <c r="AQ640" i="2"/>
  <c r="AI640" i="2"/>
  <c r="AW639" i="2"/>
  <c r="AY639" i="2" s="1"/>
  <c r="AQ639" i="2"/>
  <c r="AI639" i="2"/>
  <c r="AW638" i="2"/>
  <c r="AY638" i="2" s="1"/>
  <c r="AQ638" i="2"/>
  <c r="AI638" i="2"/>
  <c r="AW637" i="2"/>
  <c r="AY637" i="2" s="1"/>
  <c r="AQ637" i="2"/>
  <c r="AI637" i="2"/>
  <c r="AW636" i="2"/>
  <c r="AY636" i="2" s="1"/>
  <c r="AQ636" i="2"/>
  <c r="AI636" i="2"/>
  <c r="AW635" i="2"/>
  <c r="AY635" i="2" s="1"/>
  <c r="AQ635" i="2"/>
  <c r="AI635" i="2"/>
  <c r="AW634" i="2"/>
  <c r="AY634" i="2" s="1"/>
  <c r="AQ634" i="2"/>
  <c r="AI634" i="2"/>
  <c r="AW633" i="2"/>
  <c r="AY633" i="2" s="1"/>
  <c r="AQ633" i="2"/>
  <c r="AI633" i="2"/>
  <c r="AW632" i="2"/>
  <c r="AQ632" i="2"/>
  <c r="AI632" i="2"/>
  <c r="BC630" i="2"/>
  <c r="AV630" i="2"/>
  <c r="AU630" i="2"/>
  <c r="AF630" i="2"/>
  <c r="AE630" i="2"/>
  <c r="S630" i="2"/>
  <c r="P630" i="2"/>
  <c r="L630" i="2"/>
  <c r="AW628" i="2"/>
  <c r="AY628" i="2" s="1"/>
  <c r="AQ628" i="2"/>
  <c r="AI628" i="2"/>
  <c r="AW627" i="2"/>
  <c r="AY627" i="2" s="1"/>
  <c r="AQ627" i="2"/>
  <c r="AI627" i="2"/>
  <c r="AW626" i="2"/>
  <c r="AY626" i="2" s="1"/>
  <c r="AQ626" i="2"/>
  <c r="AI626" i="2"/>
  <c r="AW625" i="2"/>
  <c r="AY625" i="2" s="1"/>
  <c r="AQ625" i="2"/>
  <c r="AI625" i="2"/>
  <c r="AW624" i="2"/>
  <c r="AY624" i="2" s="1"/>
  <c r="AQ624" i="2"/>
  <c r="AI624" i="2"/>
  <c r="AW623" i="2"/>
  <c r="AY623" i="2" s="1"/>
  <c r="AQ623" i="2"/>
  <c r="AI623" i="2"/>
  <c r="AW622" i="2"/>
  <c r="AY622" i="2" s="1"/>
  <c r="AQ622" i="2"/>
  <c r="AI622" i="2"/>
  <c r="AW621" i="2"/>
  <c r="AY621" i="2" s="1"/>
  <c r="AQ621" i="2"/>
  <c r="AI621" i="2"/>
  <c r="AW620" i="2"/>
  <c r="AY620" i="2" s="1"/>
  <c r="AQ620" i="2"/>
  <c r="AI620" i="2"/>
  <c r="AW619" i="2"/>
  <c r="AY619" i="2" s="1"/>
  <c r="AQ619" i="2"/>
  <c r="AI619" i="2"/>
  <c r="AW618" i="2"/>
  <c r="AY618" i="2" s="1"/>
  <c r="AQ618" i="2"/>
  <c r="AI618" i="2"/>
  <c r="AW617" i="2"/>
  <c r="AY617" i="2" s="1"/>
  <c r="AQ617" i="2"/>
  <c r="AI617" i="2"/>
  <c r="AW616" i="2"/>
  <c r="AY616" i="2" s="1"/>
  <c r="AQ616" i="2"/>
  <c r="AI616" i="2"/>
  <c r="AW615" i="2"/>
  <c r="AY615" i="2" s="1"/>
  <c r="AQ615" i="2"/>
  <c r="AI615" i="2"/>
  <c r="AW614" i="2"/>
  <c r="AY614" i="2" s="1"/>
  <c r="AQ614" i="2"/>
  <c r="AI614" i="2"/>
  <c r="AW613" i="2"/>
  <c r="AY613" i="2" s="1"/>
  <c r="AQ613" i="2"/>
  <c r="AI613" i="2"/>
  <c r="AW612" i="2"/>
  <c r="AY612" i="2" s="1"/>
  <c r="AQ612" i="2"/>
  <c r="AI612" i="2"/>
  <c r="BC610" i="2"/>
  <c r="AV610" i="2"/>
  <c r="AU610" i="2"/>
  <c r="AF610" i="2"/>
  <c r="AE610" i="2"/>
  <c r="S610" i="2"/>
  <c r="P610" i="2"/>
  <c r="L610" i="2"/>
  <c r="AW608" i="2"/>
  <c r="AY608" i="2" s="1"/>
  <c r="AQ608" i="2"/>
  <c r="AI608" i="2"/>
  <c r="AW607" i="2"/>
  <c r="AY607" i="2" s="1"/>
  <c r="AQ607" i="2"/>
  <c r="AI607" i="2"/>
  <c r="AW606" i="2"/>
  <c r="AY606" i="2" s="1"/>
  <c r="AQ606" i="2"/>
  <c r="AI606" i="2"/>
  <c r="AW605" i="2"/>
  <c r="AY605" i="2" s="1"/>
  <c r="AQ605" i="2"/>
  <c r="AI605" i="2"/>
  <c r="AW604" i="2"/>
  <c r="AY604" i="2" s="1"/>
  <c r="AQ604" i="2"/>
  <c r="AI604" i="2"/>
  <c r="BC602" i="2"/>
  <c r="AV602" i="2"/>
  <c r="AU602" i="2"/>
  <c r="AF602" i="2"/>
  <c r="AE602" i="2"/>
  <c r="S602" i="2"/>
  <c r="P602" i="2"/>
  <c r="L602" i="2"/>
  <c r="AW600" i="2"/>
  <c r="AY600" i="2" s="1"/>
  <c r="AQ600" i="2"/>
  <c r="AI600" i="2"/>
  <c r="AW599" i="2"/>
  <c r="AY599" i="2" s="1"/>
  <c r="AQ599" i="2"/>
  <c r="AI599" i="2"/>
  <c r="AW598" i="2"/>
  <c r="AY598" i="2" s="1"/>
  <c r="AQ598" i="2"/>
  <c r="AI598" i="2"/>
  <c r="AW597" i="2"/>
  <c r="AY597" i="2" s="1"/>
  <c r="AQ597" i="2"/>
  <c r="AI597" i="2"/>
  <c r="AW596" i="2"/>
  <c r="AY596" i="2" s="1"/>
  <c r="AQ596" i="2"/>
  <c r="AI596" i="2"/>
  <c r="AW595" i="2"/>
  <c r="AY595" i="2" s="1"/>
  <c r="AQ595" i="2"/>
  <c r="AI595" i="2"/>
  <c r="AW594" i="2"/>
  <c r="AY594" i="2" s="1"/>
  <c r="AQ594" i="2"/>
  <c r="AI594" i="2"/>
  <c r="AW593" i="2"/>
  <c r="AY593" i="2" s="1"/>
  <c r="AQ593" i="2"/>
  <c r="AI593" i="2"/>
  <c r="AW592" i="2"/>
  <c r="AY592" i="2" s="1"/>
  <c r="AQ592" i="2"/>
  <c r="AI592" i="2"/>
  <c r="AW591" i="2"/>
  <c r="AY591" i="2" s="1"/>
  <c r="AQ591" i="2"/>
  <c r="AI591" i="2"/>
  <c r="BC589" i="2"/>
  <c r="AV589" i="2"/>
  <c r="AU589" i="2"/>
  <c r="AF589" i="2"/>
  <c r="AE589" i="2"/>
  <c r="S589" i="2"/>
  <c r="P589" i="2"/>
  <c r="L589" i="2"/>
  <c r="AW587" i="2"/>
  <c r="AY587" i="2" s="1"/>
  <c r="AQ587" i="2"/>
  <c r="AI587" i="2"/>
  <c r="AW586" i="2"/>
  <c r="AY586" i="2" s="1"/>
  <c r="AQ586" i="2"/>
  <c r="AI586" i="2"/>
  <c r="AW585" i="2"/>
  <c r="AY585" i="2" s="1"/>
  <c r="AQ585" i="2"/>
  <c r="AI585" i="2"/>
  <c r="AW584" i="2"/>
  <c r="AY584" i="2" s="1"/>
  <c r="AQ584" i="2"/>
  <c r="AI584" i="2"/>
  <c r="AW583" i="2"/>
  <c r="AY583" i="2" s="1"/>
  <c r="AQ583" i="2"/>
  <c r="AI583" i="2"/>
  <c r="AW582" i="2"/>
  <c r="AY582" i="2" s="1"/>
  <c r="AQ582" i="2"/>
  <c r="AI582" i="2"/>
  <c r="AW581" i="2"/>
  <c r="AY581" i="2" s="1"/>
  <c r="AQ581" i="2"/>
  <c r="AI581" i="2"/>
  <c r="AW580" i="2"/>
  <c r="AY580" i="2" s="1"/>
  <c r="AQ580" i="2"/>
  <c r="AI580" i="2"/>
  <c r="AW579" i="2"/>
  <c r="AY579" i="2" s="1"/>
  <c r="AQ579" i="2"/>
  <c r="AI579" i="2"/>
  <c r="AW578" i="2"/>
  <c r="AY578" i="2" s="1"/>
  <c r="AQ578" i="2"/>
  <c r="AI578" i="2"/>
  <c r="AW577" i="2"/>
  <c r="AY577" i="2" s="1"/>
  <c r="AQ577" i="2"/>
  <c r="AI577" i="2"/>
  <c r="AW576" i="2"/>
  <c r="AY576" i="2" s="1"/>
  <c r="AQ576" i="2"/>
  <c r="AI576" i="2"/>
  <c r="AW575" i="2"/>
  <c r="AY575" i="2" s="1"/>
  <c r="AQ575" i="2"/>
  <c r="AI575" i="2"/>
  <c r="AW574" i="2"/>
  <c r="AY574" i="2" s="1"/>
  <c r="AQ574" i="2"/>
  <c r="AI574" i="2"/>
  <c r="AW573" i="2"/>
  <c r="AY573" i="2" s="1"/>
  <c r="AQ573" i="2"/>
  <c r="AI573" i="2"/>
  <c r="AW572" i="2"/>
  <c r="AY572" i="2" s="1"/>
  <c r="AQ572" i="2"/>
  <c r="AI572" i="2"/>
  <c r="AW571" i="2"/>
  <c r="AY571" i="2" s="1"/>
  <c r="AQ571" i="2"/>
  <c r="AI571" i="2"/>
  <c r="AW570" i="2"/>
  <c r="AY570" i="2" s="1"/>
  <c r="AQ570" i="2"/>
  <c r="AI570" i="2"/>
  <c r="AW569" i="2"/>
  <c r="AY569" i="2" s="1"/>
  <c r="AQ569" i="2"/>
  <c r="AI569" i="2"/>
  <c r="AW568" i="2"/>
  <c r="AY568" i="2" s="1"/>
  <c r="AQ568" i="2"/>
  <c r="AI568" i="2"/>
  <c r="AW567" i="2"/>
  <c r="AY567" i="2" s="1"/>
  <c r="AQ567" i="2"/>
  <c r="AI567" i="2"/>
  <c r="AW566" i="2"/>
  <c r="AQ566" i="2"/>
  <c r="AI566" i="2"/>
  <c r="BC564" i="2"/>
  <c r="AV564" i="2"/>
  <c r="AU564" i="2"/>
  <c r="AF564" i="2"/>
  <c r="AE564" i="2"/>
  <c r="S564" i="2"/>
  <c r="P564" i="2"/>
  <c r="L564" i="2"/>
  <c r="AW562" i="2"/>
  <c r="AY562" i="2" s="1"/>
  <c r="AQ562" i="2"/>
  <c r="AI562" i="2"/>
  <c r="AW561" i="2"/>
  <c r="AY561" i="2" s="1"/>
  <c r="AQ561" i="2"/>
  <c r="AI561" i="2"/>
  <c r="AW560" i="2"/>
  <c r="AY560" i="2" s="1"/>
  <c r="AQ560" i="2"/>
  <c r="AI560" i="2"/>
  <c r="AW559" i="2"/>
  <c r="AY559" i="2" s="1"/>
  <c r="AQ559" i="2"/>
  <c r="AI559" i="2"/>
  <c r="AW558" i="2"/>
  <c r="AY558" i="2" s="1"/>
  <c r="AQ558" i="2"/>
  <c r="AI558" i="2"/>
  <c r="AW557" i="2"/>
  <c r="AY557" i="2" s="1"/>
  <c r="AQ557" i="2"/>
  <c r="AI557" i="2"/>
  <c r="AW556" i="2"/>
  <c r="AY556" i="2" s="1"/>
  <c r="AQ556" i="2"/>
  <c r="AI556" i="2"/>
  <c r="AW555" i="2"/>
  <c r="AY555" i="2" s="1"/>
  <c r="AQ555" i="2"/>
  <c r="AI555" i="2"/>
  <c r="AW554" i="2"/>
  <c r="AY554" i="2" s="1"/>
  <c r="AQ554" i="2"/>
  <c r="AI554" i="2"/>
  <c r="AW553" i="2"/>
  <c r="AY553" i="2" s="1"/>
  <c r="AQ553" i="2"/>
  <c r="AI553" i="2"/>
  <c r="AW552" i="2"/>
  <c r="AY552" i="2" s="1"/>
  <c r="AQ552" i="2"/>
  <c r="AI552" i="2"/>
  <c r="AW551" i="2"/>
  <c r="AY551" i="2" s="1"/>
  <c r="AQ551" i="2"/>
  <c r="AI551" i="2"/>
  <c r="AW550" i="2"/>
  <c r="AQ550" i="2"/>
  <c r="AI550" i="2"/>
  <c r="BC548" i="2"/>
  <c r="AV548" i="2"/>
  <c r="AU548" i="2"/>
  <c r="AF548" i="2"/>
  <c r="AE548" i="2"/>
  <c r="S548" i="2"/>
  <c r="P548" i="2"/>
  <c r="L548" i="2"/>
  <c r="AW546" i="2"/>
  <c r="AY546" i="2" s="1"/>
  <c r="AQ546" i="2"/>
  <c r="AI546" i="2"/>
  <c r="AW545" i="2"/>
  <c r="AY545" i="2" s="1"/>
  <c r="AQ545" i="2"/>
  <c r="AI545" i="2"/>
  <c r="AW544" i="2"/>
  <c r="AY544" i="2" s="1"/>
  <c r="AQ544" i="2"/>
  <c r="AI544" i="2"/>
  <c r="AW543" i="2"/>
  <c r="AQ543" i="2"/>
  <c r="AI543" i="2"/>
  <c r="AW542" i="2"/>
  <c r="AY542" i="2" s="1"/>
  <c r="AQ542" i="2"/>
  <c r="AI542" i="2"/>
  <c r="AW541" i="2"/>
  <c r="AY541" i="2" s="1"/>
  <c r="AQ541" i="2"/>
  <c r="AI541" i="2"/>
  <c r="AW540" i="2"/>
  <c r="AY540" i="2" s="1"/>
  <c r="AQ540" i="2"/>
  <c r="AI540" i="2"/>
  <c r="AW539" i="2"/>
  <c r="AY539" i="2" s="1"/>
  <c r="AQ539" i="2"/>
  <c r="AI539" i="2"/>
  <c r="AW538" i="2"/>
  <c r="AY538" i="2" s="1"/>
  <c r="AQ538" i="2"/>
  <c r="AI538" i="2"/>
  <c r="AW537" i="2"/>
  <c r="AY537" i="2" s="1"/>
  <c r="AQ537" i="2"/>
  <c r="AI537" i="2"/>
  <c r="AW536" i="2"/>
  <c r="AY536" i="2" s="1"/>
  <c r="AQ536" i="2"/>
  <c r="AI536" i="2"/>
  <c r="AW535" i="2"/>
  <c r="AY535" i="2" s="1"/>
  <c r="AQ535" i="2"/>
  <c r="AI535" i="2"/>
  <c r="AW534" i="2"/>
  <c r="AY534" i="2" s="1"/>
  <c r="AQ534" i="2"/>
  <c r="AI534" i="2"/>
  <c r="AW533" i="2"/>
  <c r="AY533" i="2" s="1"/>
  <c r="AQ533" i="2"/>
  <c r="AI533" i="2"/>
  <c r="AW532" i="2"/>
  <c r="AY532" i="2" s="1"/>
  <c r="AQ532" i="2"/>
  <c r="AI532" i="2"/>
  <c r="BC530" i="2"/>
  <c r="AV530" i="2"/>
  <c r="AU530" i="2"/>
  <c r="AF530" i="2"/>
  <c r="AE530" i="2"/>
  <c r="S530" i="2"/>
  <c r="P530" i="2"/>
  <c r="L530" i="2"/>
  <c r="AW528" i="2"/>
  <c r="AY528" i="2" s="1"/>
  <c r="AQ528" i="2"/>
  <c r="AI528" i="2"/>
  <c r="AW527" i="2"/>
  <c r="AY527" i="2" s="1"/>
  <c r="AQ527" i="2"/>
  <c r="AI527" i="2"/>
  <c r="AW526" i="2"/>
  <c r="AY526" i="2" s="1"/>
  <c r="AQ526" i="2"/>
  <c r="AI526" i="2"/>
  <c r="AW525" i="2"/>
  <c r="AY525" i="2" s="1"/>
  <c r="AQ525" i="2"/>
  <c r="AI525" i="2"/>
  <c r="AW524" i="2"/>
  <c r="AY524" i="2" s="1"/>
  <c r="AQ524" i="2"/>
  <c r="AI524" i="2"/>
  <c r="AW523" i="2"/>
  <c r="AY523" i="2" s="1"/>
  <c r="AQ523" i="2"/>
  <c r="AI523" i="2"/>
  <c r="AW522" i="2"/>
  <c r="AY522" i="2" s="1"/>
  <c r="AQ522" i="2"/>
  <c r="AI522" i="2"/>
  <c r="AW521" i="2"/>
  <c r="AY521" i="2" s="1"/>
  <c r="AQ521" i="2"/>
  <c r="AI521" i="2"/>
  <c r="AW520" i="2"/>
  <c r="AY520" i="2" s="1"/>
  <c r="AQ520" i="2"/>
  <c r="AI520" i="2"/>
  <c r="AW519" i="2"/>
  <c r="AY519" i="2" s="1"/>
  <c r="AQ519" i="2"/>
  <c r="AI519" i="2"/>
  <c r="AW518" i="2"/>
  <c r="AY518" i="2" s="1"/>
  <c r="AQ518" i="2"/>
  <c r="AI518" i="2"/>
  <c r="AW517" i="2"/>
  <c r="AY517" i="2" s="1"/>
  <c r="AQ517" i="2"/>
  <c r="AI517" i="2"/>
  <c r="AW516" i="2"/>
  <c r="AY516" i="2" s="1"/>
  <c r="AQ516" i="2"/>
  <c r="AI516" i="2"/>
  <c r="AW515" i="2"/>
  <c r="AY515" i="2" s="1"/>
  <c r="AQ515" i="2"/>
  <c r="AI515" i="2"/>
  <c r="BC513" i="2"/>
  <c r="AV513" i="2"/>
  <c r="AU513" i="2"/>
  <c r="AF513" i="2"/>
  <c r="AE513" i="2"/>
  <c r="S513" i="2"/>
  <c r="P513" i="2"/>
  <c r="L513" i="2"/>
  <c r="AW511" i="2"/>
  <c r="AY511" i="2" s="1"/>
  <c r="AQ511" i="2"/>
  <c r="AI511" i="2"/>
  <c r="AW510" i="2"/>
  <c r="AY510" i="2" s="1"/>
  <c r="AQ510" i="2"/>
  <c r="AI510" i="2"/>
  <c r="AW509" i="2"/>
  <c r="AY509" i="2" s="1"/>
  <c r="AQ509" i="2"/>
  <c r="AI509" i="2"/>
  <c r="AW508" i="2"/>
  <c r="AY508" i="2" s="1"/>
  <c r="AQ508" i="2"/>
  <c r="AI508" i="2"/>
  <c r="AW507" i="2"/>
  <c r="AY507" i="2" s="1"/>
  <c r="AQ507" i="2"/>
  <c r="AI507" i="2"/>
  <c r="AW506" i="2"/>
  <c r="AY506" i="2" s="1"/>
  <c r="AQ506" i="2"/>
  <c r="AI506" i="2"/>
  <c r="AW505" i="2"/>
  <c r="AY505" i="2" s="1"/>
  <c r="AQ505" i="2"/>
  <c r="AI505" i="2"/>
  <c r="AW504" i="2"/>
  <c r="AQ504" i="2"/>
  <c r="AI504" i="2"/>
  <c r="BC502" i="2"/>
  <c r="AV502" i="2"/>
  <c r="AU502" i="2"/>
  <c r="AF502" i="2"/>
  <c r="AE502" i="2"/>
  <c r="S502" i="2"/>
  <c r="P502" i="2"/>
  <c r="L502" i="2"/>
  <c r="AW500" i="2"/>
  <c r="AY500" i="2" s="1"/>
  <c r="AQ500" i="2"/>
  <c r="AI500" i="2"/>
  <c r="AW499" i="2"/>
  <c r="AY499" i="2" s="1"/>
  <c r="AQ499" i="2"/>
  <c r="AI499" i="2"/>
  <c r="AW498" i="2"/>
  <c r="AY498" i="2" s="1"/>
  <c r="AQ498" i="2"/>
  <c r="AI498" i="2"/>
  <c r="AW497" i="2"/>
  <c r="AY497" i="2" s="1"/>
  <c r="AQ497" i="2"/>
  <c r="AI497" i="2"/>
  <c r="AW496" i="2"/>
  <c r="AY496" i="2" s="1"/>
  <c r="AQ496" i="2"/>
  <c r="AI496" i="2"/>
  <c r="AW495" i="2"/>
  <c r="AY495" i="2" s="1"/>
  <c r="AQ495" i="2"/>
  <c r="AI495" i="2"/>
  <c r="AW494" i="2"/>
  <c r="AY494" i="2" s="1"/>
  <c r="AQ494" i="2"/>
  <c r="AI494" i="2"/>
  <c r="AW493" i="2"/>
  <c r="AY493" i="2" s="1"/>
  <c r="AQ493" i="2"/>
  <c r="AI493" i="2"/>
  <c r="AW492" i="2"/>
  <c r="AY492" i="2" s="1"/>
  <c r="AQ492" i="2"/>
  <c r="AI492" i="2"/>
  <c r="AW491" i="2"/>
  <c r="AY491" i="2" s="1"/>
  <c r="AQ491" i="2"/>
  <c r="AI491" i="2"/>
  <c r="AW490" i="2"/>
  <c r="AY490" i="2" s="1"/>
  <c r="AQ490" i="2"/>
  <c r="AI490" i="2"/>
  <c r="AW489" i="2"/>
  <c r="AY489" i="2" s="1"/>
  <c r="AQ489" i="2"/>
  <c r="AI489" i="2"/>
  <c r="AW488" i="2"/>
  <c r="AY488" i="2" s="1"/>
  <c r="AQ488" i="2"/>
  <c r="AI488" i="2"/>
  <c r="AW487" i="2"/>
  <c r="AY487" i="2" s="1"/>
  <c r="AQ487" i="2"/>
  <c r="AI487" i="2"/>
  <c r="AW486" i="2"/>
  <c r="AY486" i="2" s="1"/>
  <c r="AQ486" i="2"/>
  <c r="AI486" i="2"/>
  <c r="AW485" i="2"/>
  <c r="AY485" i="2" s="1"/>
  <c r="AQ485" i="2"/>
  <c r="AI485" i="2"/>
  <c r="AW484" i="2"/>
  <c r="AY484" i="2" s="1"/>
  <c r="AQ484" i="2"/>
  <c r="AI484" i="2"/>
  <c r="AW483" i="2"/>
  <c r="AY483" i="2" s="1"/>
  <c r="AQ483" i="2"/>
  <c r="AI483" i="2"/>
  <c r="AW482" i="2"/>
  <c r="AY482" i="2" s="1"/>
  <c r="AQ482" i="2"/>
  <c r="AI482" i="2"/>
  <c r="AW481" i="2"/>
  <c r="AY481" i="2" s="1"/>
  <c r="AQ481" i="2"/>
  <c r="AI481" i="2"/>
  <c r="AW480" i="2"/>
  <c r="AY480" i="2" s="1"/>
  <c r="AQ480" i="2"/>
  <c r="AI480" i="2"/>
  <c r="AW479" i="2"/>
  <c r="AY479" i="2" s="1"/>
  <c r="AQ479" i="2"/>
  <c r="AI479" i="2"/>
  <c r="AW478" i="2"/>
  <c r="AY478" i="2" s="1"/>
  <c r="AQ478" i="2"/>
  <c r="AI478" i="2"/>
  <c r="AW477" i="2"/>
  <c r="AY477" i="2" s="1"/>
  <c r="AQ477" i="2"/>
  <c r="AI477" i="2"/>
  <c r="AW476" i="2"/>
  <c r="AY476" i="2" s="1"/>
  <c r="AQ476" i="2"/>
  <c r="AI476" i="2"/>
  <c r="AW475" i="2"/>
  <c r="AQ475" i="2"/>
  <c r="AI475" i="2"/>
  <c r="BC473" i="2"/>
  <c r="AV473" i="2"/>
  <c r="AU473" i="2"/>
  <c r="AF473" i="2"/>
  <c r="AE473" i="2"/>
  <c r="S473" i="2"/>
  <c r="P473" i="2"/>
  <c r="L473" i="2"/>
  <c r="AW471" i="2"/>
  <c r="AY471" i="2" s="1"/>
  <c r="AQ471" i="2"/>
  <c r="AI471" i="2"/>
  <c r="AW470" i="2"/>
  <c r="AY470" i="2" s="1"/>
  <c r="AQ470" i="2"/>
  <c r="AI470" i="2"/>
  <c r="AW469" i="2"/>
  <c r="AY469" i="2" s="1"/>
  <c r="AQ469" i="2"/>
  <c r="AI469" i="2"/>
  <c r="AW468" i="2"/>
  <c r="AY468" i="2" s="1"/>
  <c r="AQ468" i="2"/>
  <c r="AI468" i="2"/>
  <c r="AW467" i="2"/>
  <c r="AY467" i="2" s="1"/>
  <c r="AQ467" i="2"/>
  <c r="AI467" i="2"/>
  <c r="AW466" i="2"/>
  <c r="AY466" i="2" s="1"/>
  <c r="AQ466" i="2"/>
  <c r="AI466" i="2"/>
  <c r="AW465" i="2"/>
  <c r="AY465" i="2" s="1"/>
  <c r="AQ465" i="2"/>
  <c r="AI465" i="2"/>
  <c r="AW464" i="2"/>
  <c r="AY464" i="2" s="1"/>
  <c r="AQ464" i="2"/>
  <c r="AI464" i="2"/>
  <c r="AW463" i="2"/>
  <c r="AY463" i="2" s="1"/>
  <c r="AQ463" i="2"/>
  <c r="AI463" i="2"/>
  <c r="AW462" i="2"/>
  <c r="AY462" i="2" s="1"/>
  <c r="AQ462" i="2"/>
  <c r="AI462" i="2"/>
  <c r="AW461" i="2"/>
  <c r="AY461" i="2" s="1"/>
  <c r="AQ461" i="2"/>
  <c r="AI461" i="2"/>
  <c r="AW460" i="2"/>
  <c r="AY460" i="2" s="1"/>
  <c r="AQ460" i="2"/>
  <c r="AI460" i="2"/>
  <c r="AW459" i="2"/>
  <c r="AY459" i="2" s="1"/>
  <c r="AQ459" i="2"/>
  <c r="AI459" i="2"/>
  <c r="AW458" i="2"/>
  <c r="AY458" i="2" s="1"/>
  <c r="AQ458" i="2"/>
  <c r="AI458" i="2"/>
  <c r="AW457" i="2"/>
  <c r="AY457" i="2" s="1"/>
  <c r="AQ457" i="2"/>
  <c r="AI457" i="2"/>
  <c r="AW456" i="2"/>
  <c r="AY456" i="2" s="1"/>
  <c r="AQ456" i="2"/>
  <c r="AI456" i="2"/>
  <c r="AW455" i="2"/>
  <c r="AY455" i="2" s="1"/>
  <c r="AQ455" i="2"/>
  <c r="AI455" i="2"/>
  <c r="AW454" i="2"/>
  <c r="AY454" i="2" s="1"/>
  <c r="AQ454" i="2"/>
  <c r="AI454" i="2"/>
  <c r="AW453" i="2"/>
  <c r="AY453" i="2" s="1"/>
  <c r="AQ453" i="2"/>
  <c r="AI453" i="2"/>
  <c r="AW452" i="2"/>
  <c r="AY452" i="2" s="1"/>
  <c r="AQ452" i="2"/>
  <c r="AI452" i="2"/>
  <c r="BC450" i="2"/>
  <c r="AV450" i="2"/>
  <c r="AU450" i="2"/>
  <c r="AF450" i="2"/>
  <c r="AE450" i="2"/>
  <c r="S450" i="2"/>
  <c r="P450" i="2"/>
  <c r="L450" i="2"/>
  <c r="AW448" i="2"/>
  <c r="AY448" i="2" s="1"/>
  <c r="AQ448" i="2"/>
  <c r="AI448" i="2"/>
  <c r="AW447" i="2"/>
  <c r="AY447" i="2" s="1"/>
  <c r="AQ447" i="2"/>
  <c r="AI447" i="2"/>
  <c r="AW446" i="2"/>
  <c r="AY446" i="2" s="1"/>
  <c r="AQ446" i="2"/>
  <c r="AI446" i="2"/>
  <c r="AW445" i="2"/>
  <c r="AY445" i="2" s="1"/>
  <c r="AQ445" i="2"/>
  <c r="AI445" i="2"/>
  <c r="AW444" i="2"/>
  <c r="AY444" i="2" s="1"/>
  <c r="AQ444" i="2"/>
  <c r="AI444" i="2"/>
  <c r="AW443" i="2"/>
  <c r="AY443" i="2" s="1"/>
  <c r="AQ443" i="2"/>
  <c r="AI443" i="2"/>
  <c r="AW442" i="2"/>
  <c r="AQ442" i="2"/>
  <c r="AI442" i="2"/>
  <c r="BC440" i="2"/>
  <c r="AV440" i="2"/>
  <c r="AU440" i="2"/>
  <c r="AF440" i="2"/>
  <c r="AE440" i="2"/>
  <c r="S440" i="2"/>
  <c r="P440" i="2"/>
  <c r="L440" i="2"/>
  <c r="AW438" i="2"/>
  <c r="AY438" i="2" s="1"/>
  <c r="AQ438" i="2"/>
  <c r="AI438" i="2"/>
  <c r="AW437" i="2"/>
  <c r="AY437" i="2" s="1"/>
  <c r="AQ437" i="2"/>
  <c r="AI437" i="2"/>
  <c r="AW436" i="2"/>
  <c r="AY436" i="2" s="1"/>
  <c r="AQ436" i="2"/>
  <c r="AI436" i="2"/>
  <c r="AW435" i="2"/>
  <c r="AY435" i="2" s="1"/>
  <c r="AQ435" i="2"/>
  <c r="AI435" i="2"/>
  <c r="AW434" i="2"/>
  <c r="AY434" i="2" s="1"/>
  <c r="AQ434" i="2"/>
  <c r="AI434" i="2"/>
  <c r="AW433" i="2"/>
  <c r="AY433" i="2" s="1"/>
  <c r="AQ433" i="2"/>
  <c r="AI433" i="2"/>
  <c r="AW432" i="2"/>
  <c r="AY432" i="2" s="1"/>
  <c r="AQ432" i="2"/>
  <c r="AI432" i="2"/>
  <c r="AW431" i="2"/>
  <c r="AY431" i="2" s="1"/>
  <c r="AQ431" i="2"/>
  <c r="AI431" i="2"/>
  <c r="AW430" i="2"/>
  <c r="AY430" i="2" s="1"/>
  <c r="AQ430" i="2"/>
  <c r="AI430" i="2"/>
  <c r="AW429" i="2"/>
  <c r="AY429" i="2" s="1"/>
  <c r="AQ429" i="2"/>
  <c r="AI429" i="2"/>
  <c r="AW428" i="2"/>
  <c r="AY428" i="2" s="1"/>
  <c r="AQ428" i="2"/>
  <c r="AI428" i="2"/>
  <c r="AW427" i="2"/>
  <c r="AY427" i="2" s="1"/>
  <c r="AQ427" i="2"/>
  <c r="AI427" i="2"/>
  <c r="AW426" i="2"/>
  <c r="AY426" i="2" s="1"/>
  <c r="AQ426" i="2"/>
  <c r="AI426" i="2"/>
  <c r="AW425" i="2"/>
  <c r="AY425" i="2" s="1"/>
  <c r="AQ425" i="2"/>
  <c r="AI425" i="2"/>
  <c r="AW424" i="2"/>
  <c r="AQ424" i="2"/>
  <c r="AI424" i="2"/>
  <c r="AW423" i="2"/>
  <c r="AY423" i="2" s="1"/>
  <c r="AQ423" i="2"/>
  <c r="AI423" i="2"/>
  <c r="BC421" i="2"/>
  <c r="AV421" i="2"/>
  <c r="AU421" i="2"/>
  <c r="AF421" i="2"/>
  <c r="AE421" i="2"/>
  <c r="S421" i="2"/>
  <c r="P421" i="2"/>
  <c r="L421" i="2"/>
  <c r="AW419" i="2"/>
  <c r="AY419" i="2" s="1"/>
  <c r="AQ419" i="2"/>
  <c r="AI419" i="2"/>
  <c r="AW418" i="2"/>
  <c r="AY418" i="2" s="1"/>
  <c r="AQ418" i="2"/>
  <c r="AI418" i="2"/>
  <c r="AW417" i="2"/>
  <c r="AY417" i="2" s="1"/>
  <c r="AQ417" i="2"/>
  <c r="AI417" i="2"/>
  <c r="AW416" i="2"/>
  <c r="AY416" i="2" s="1"/>
  <c r="AQ416" i="2"/>
  <c r="AI416" i="2"/>
  <c r="AW415" i="2"/>
  <c r="AY415" i="2" s="1"/>
  <c r="AQ415" i="2"/>
  <c r="AI415" i="2"/>
  <c r="AW414" i="2"/>
  <c r="AY414" i="2" s="1"/>
  <c r="AQ414" i="2"/>
  <c r="AI414" i="2"/>
  <c r="AW413" i="2"/>
  <c r="AY413" i="2" s="1"/>
  <c r="AQ413" i="2"/>
  <c r="AI413" i="2"/>
  <c r="AW412" i="2"/>
  <c r="AY412" i="2" s="1"/>
  <c r="AQ412" i="2"/>
  <c r="AI412" i="2"/>
  <c r="AW411" i="2"/>
  <c r="AY411" i="2" s="1"/>
  <c r="AQ411" i="2"/>
  <c r="AI411" i="2"/>
  <c r="AW410" i="2"/>
  <c r="AY410" i="2" s="1"/>
  <c r="AQ410" i="2"/>
  <c r="AI410" i="2"/>
  <c r="AW409" i="2"/>
  <c r="AY409" i="2" s="1"/>
  <c r="AQ409" i="2"/>
  <c r="AI409" i="2"/>
  <c r="AW408" i="2"/>
  <c r="AY408" i="2" s="1"/>
  <c r="AQ408" i="2"/>
  <c r="AI408" i="2"/>
  <c r="AW407" i="2"/>
  <c r="AY407" i="2" s="1"/>
  <c r="AQ407" i="2"/>
  <c r="AI407" i="2"/>
  <c r="AW406" i="2"/>
  <c r="AY406" i="2" s="1"/>
  <c r="AQ406" i="2"/>
  <c r="AI406" i="2"/>
  <c r="AW405" i="2"/>
  <c r="AY405" i="2" s="1"/>
  <c r="AQ405" i="2"/>
  <c r="AI405" i="2"/>
  <c r="AW404" i="2"/>
  <c r="AY404" i="2" s="1"/>
  <c r="AQ404" i="2"/>
  <c r="AI404" i="2"/>
  <c r="AW403" i="2"/>
  <c r="AY403" i="2" s="1"/>
  <c r="AQ403" i="2"/>
  <c r="AI403" i="2"/>
  <c r="AW402" i="2"/>
  <c r="AY402" i="2" s="1"/>
  <c r="AQ402" i="2"/>
  <c r="AI402" i="2"/>
  <c r="AW401" i="2"/>
  <c r="AY401" i="2" s="1"/>
  <c r="AQ401" i="2"/>
  <c r="AI401" i="2"/>
  <c r="AW400" i="2"/>
  <c r="AY400" i="2" s="1"/>
  <c r="AQ400" i="2"/>
  <c r="AI400" i="2"/>
  <c r="AW399" i="2"/>
  <c r="AQ399" i="2"/>
  <c r="AI399" i="2"/>
  <c r="BC397" i="2"/>
  <c r="AV397" i="2"/>
  <c r="AU397" i="2"/>
  <c r="AF397" i="2"/>
  <c r="AE397" i="2"/>
  <c r="S397" i="2"/>
  <c r="P397" i="2"/>
  <c r="L397" i="2"/>
  <c r="AW395" i="2"/>
  <c r="AY395" i="2" s="1"/>
  <c r="AQ395" i="2"/>
  <c r="AI395" i="2"/>
  <c r="AW394" i="2"/>
  <c r="AY394" i="2" s="1"/>
  <c r="AQ394" i="2"/>
  <c r="AI394" i="2"/>
  <c r="AW393" i="2"/>
  <c r="AY393" i="2" s="1"/>
  <c r="AQ393" i="2"/>
  <c r="AI393" i="2"/>
  <c r="AW392" i="2"/>
  <c r="AY392" i="2" s="1"/>
  <c r="AQ392" i="2"/>
  <c r="AI392" i="2"/>
  <c r="AW391" i="2"/>
  <c r="AY391" i="2" s="1"/>
  <c r="AQ391" i="2"/>
  <c r="AI391" i="2"/>
  <c r="AW390" i="2"/>
  <c r="AY390" i="2" s="1"/>
  <c r="AQ390" i="2"/>
  <c r="AI390" i="2"/>
  <c r="AW389" i="2"/>
  <c r="AY389" i="2" s="1"/>
  <c r="AQ389" i="2"/>
  <c r="AI389" i="2"/>
  <c r="AW388" i="2"/>
  <c r="AY388" i="2" s="1"/>
  <c r="AQ388" i="2"/>
  <c r="AI388" i="2"/>
  <c r="AW387" i="2"/>
  <c r="AY387" i="2" s="1"/>
  <c r="AQ387" i="2"/>
  <c r="AI387" i="2"/>
  <c r="AW386" i="2"/>
  <c r="AY386" i="2" s="1"/>
  <c r="AQ386" i="2"/>
  <c r="AI386" i="2"/>
  <c r="AW385" i="2"/>
  <c r="AY385" i="2" s="1"/>
  <c r="AQ385" i="2"/>
  <c r="AI385" i="2"/>
  <c r="AW384" i="2"/>
  <c r="AY384" i="2" s="1"/>
  <c r="AQ384" i="2"/>
  <c r="AI384" i="2"/>
  <c r="AW383" i="2"/>
  <c r="AY383" i="2" s="1"/>
  <c r="AQ383" i="2"/>
  <c r="AI383" i="2"/>
  <c r="AW382" i="2"/>
  <c r="AY382" i="2" s="1"/>
  <c r="AQ382" i="2"/>
  <c r="AI382" i="2"/>
  <c r="AW381" i="2"/>
  <c r="AY381" i="2" s="1"/>
  <c r="AQ381" i="2"/>
  <c r="AI381" i="2"/>
  <c r="AW380" i="2"/>
  <c r="AY380" i="2" s="1"/>
  <c r="AQ380" i="2"/>
  <c r="AI380" i="2"/>
  <c r="AW379" i="2"/>
  <c r="AY379" i="2" s="1"/>
  <c r="AQ379" i="2"/>
  <c r="AI379" i="2"/>
  <c r="AW378" i="2"/>
  <c r="AY378" i="2" s="1"/>
  <c r="AQ378" i="2"/>
  <c r="AI378" i="2"/>
  <c r="BC376" i="2"/>
  <c r="AV376" i="2"/>
  <c r="AU376" i="2"/>
  <c r="AF376" i="2"/>
  <c r="AE376" i="2"/>
  <c r="S376" i="2"/>
  <c r="P376" i="2"/>
  <c r="L376" i="2"/>
  <c r="AW374" i="2"/>
  <c r="AY374" i="2" s="1"/>
  <c r="AQ374" i="2"/>
  <c r="AI374" i="2"/>
  <c r="AW373" i="2"/>
  <c r="AY373" i="2" s="1"/>
  <c r="AQ373" i="2"/>
  <c r="AI373" i="2"/>
  <c r="AW372" i="2"/>
  <c r="AY372" i="2" s="1"/>
  <c r="AQ372" i="2"/>
  <c r="AI372" i="2"/>
  <c r="AW371" i="2"/>
  <c r="AY371" i="2" s="1"/>
  <c r="AQ371" i="2"/>
  <c r="AI371" i="2"/>
  <c r="AW370" i="2"/>
  <c r="AY370" i="2" s="1"/>
  <c r="AQ370" i="2"/>
  <c r="AI370" i="2"/>
  <c r="AW369" i="2"/>
  <c r="AY369" i="2" s="1"/>
  <c r="AQ369" i="2"/>
  <c r="AI369" i="2"/>
  <c r="AW368" i="2"/>
  <c r="AY368" i="2" s="1"/>
  <c r="AQ368" i="2"/>
  <c r="AI368" i="2"/>
  <c r="AW367" i="2"/>
  <c r="AY367" i="2" s="1"/>
  <c r="AQ367" i="2"/>
  <c r="AI367" i="2"/>
  <c r="AW366" i="2"/>
  <c r="AY366" i="2" s="1"/>
  <c r="AQ366" i="2"/>
  <c r="AI366" i="2"/>
  <c r="AW365" i="2"/>
  <c r="AY365" i="2" s="1"/>
  <c r="AQ365" i="2"/>
  <c r="AI365" i="2"/>
  <c r="AW364" i="2"/>
  <c r="AY364" i="2" s="1"/>
  <c r="AQ364" i="2"/>
  <c r="AI364" i="2"/>
  <c r="AW363" i="2"/>
  <c r="AY363" i="2" s="1"/>
  <c r="AQ363" i="2"/>
  <c r="AI363" i="2"/>
  <c r="AW362" i="2"/>
  <c r="AY362" i="2" s="1"/>
  <c r="AQ362" i="2"/>
  <c r="AI362" i="2"/>
  <c r="AW361" i="2"/>
  <c r="AY361" i="2" s="1"/>
  <c r="AQ361" i="2"/>
  <c r="AI361" i="2"/>
  <c r="AW360" i="2"/>
  <c r="AY360" i="2" s="1"/>
  <c r="AQ360" i="2"/>
  <c r="AI360" i="2"/>
  <c r="AW359" i="2"/>
  <c r="AY359" i="2" s="1"/>
  <c r="AQ359" i="2"/>
  <c r="AI359" i="2"/>
  <c r="AW358" i="2"/>
  <c r="AY358" i="2" s="1"/>
  <c r="AQ358" i="2"/>
  <c r="AI358" i="2"/>
  <c r="AW357" i="2"/>
  <c r="AY357" i="2" s="1"/>
  <c r="AQ357" i="2"/>
  <c r="AI357" i="2"/>
  <c r="AW356" i="2"/>
  <c r="AY356" i="2" s="1"/>
  <c r="AQ356" i="2"/>
  <c r="AI356" i="2"/>
  <c r="BC354" i="2"/>
  <c r="AV354" i="2"/>
  <c r="AU354" i="2"/>
  <c r="AF354" i="2"/>
  <c r="AE354" i="2"/>
  <c r="S354" i="2"/>
  <c r="P354" i="2"/>
  <c r="L354" i="2"/>
  <c r="AW352" i="2"/>
  <c r="AY352" i="2" s="1"/>
  <c r="AQ352" i="2"/>
  <c r="AI352" i="2"/>
  <c r="AW351" i="2"/>
  <c r="AY351" i="2" s="1"/>
  <c r="AQ351" i="2"/>
  <c r="AI351" i="2"/>
  <c r="AW350" i="2"/>
  <c r="AY350" i="2" s="1"/>
  <c r="AQ350" i="2"/>
  <c r="AI350" i="2"/>
  <c r="AW349" i="2"/>
  <c r="AY349" i="2" s="1"/>
  <c r="AQ349" i="2"/>
  <c r="AI349" i="2"/>
  <c r="AW348" i="2"/>
  <c r="AY348" i="2" s="1"/>
  <c r="AQ348" i="2"/>
  <c r="AI348" i="2"/>
  <c r="AW347" i="2"/>
  <c r="AY347" i="2" s="1"/>
  <c r="AQ347" i="2"/>
  <c r="AI347" i="2"/>
  <c r="AW346" i="2"/>
  <c r="AY346" i="2" s="1"/>
  <c r="AQ346" i="2"/>
  <c r="AI346" i="2"/>
  <c r="AW345" i="2"/>
  <c r="AY345" i="2" s="1"/>
  <c r="AQ345" i="2"/>
  <c r="AI345" i="2"/>
  <c r="AW344" i="2"/>
  <c r="AQ344" i="2"/>
  <c r="AI344" i="2"/>
  <c r="AW343" i="2"/>
  <c r="AY343" i="2" s="1"/>
  <c r="AQ343" i="2"/>
  <c r="AI343" i="2"/>
  <c r="BC341" i="2"/>
  <c r="AV341" i="2"/>
  <c r="AU341" i="2"/>
  <c r="AF341" i="2"/>
  <c r="AE341" i="2"/>
  <c r="S341" i="2"/>
  <c r="P341" i="2"/>
  <c r="L341" i="2"/>
  <c r="AW339" i="2"/>
  <c r="AY339" i="2" s="1"/>
  <c r="AQ339" i="2"/>
  <c r="AI339" i="2"/>
  <c r="AW338" i="2"/>
  <c r="AY338" i="2" s="1"/>
  <c r="AQ338" i="2"/>
  <c r="AI338" i="2"/>
  <c r="AW337" i="2"/>
  <c r="AY337" i="2" s="1"/>
  <c r="AQ337" i="2"/>
  <c r="AI337" i="2"/>
  <c r="AW336" i="2"/>
  <c r="AY336" i="2" s="1"/>
  <c r="AQ336" i="2"/>
  <c r="AI336" i="2"/>
  <c r="AW335" i="2"/>
  <c r="AY335" i="2" s="1"/>
  <c r="AQ335" i="2"/>
  <c r="AI335" i="2"/>
  <c r="AW334" i="2"/>
  <c r="AY334" i="2" s="1"/>
  <c r="AQ334" i="2"/>
  <c r="AI334" i="2"/>
  <c r="AW333" i="2"/>
  <c r="AY333" i="2" s="1"/>
  <c r="AQ333" i="2"/>
  <c r="AI333" i="2"/>
  <c r="AW332" i="2"/>
  <c r="AY332" i="2" s="1"/>
  <c r="AQ332" i="2"/>
  <c r="AI332" i="2"/>
  <c r="AW331" i="2"/>
  <c r="AQ331" i="2"/>
  <c r="AI331" i="2"/>
  <c r="BC329" i="2"/>
  <c r="AV329" i="2"/>
  <c r="AU329" i="2"/>
  <c r="AF329" i="2"/>
  <c r="AE329" i="2"/>
  <c r="S329" i="2"/>
  <c r="P329" i="2"/>
  <c r="L329" i="2"/>
  <c r="AW327" i="2"/>
  <c r="AY327" i="2" s="1"/>
  <c r="AQ327" i="2"/>
  <c r="AI327" i="2"/>
  <c r="AW326" i="2"/>
  <c r="AY326" i="2" s="1"/>
  <c r="AQ326" i="2"/>
  <c r="AI326" i="2"/>
  <c r="AW325" i="2"/>
  <c r="AY325" i="2" s="1"/>
  <c r="AQ325" i="2"/>
  <c r="AI325" i="2"/>
  <c r="AW324" i="2"/>
  <c r="AY324" i="2" s="1"/>
  <c r="AQ324" i="2"/>
  <c r="AI324" i="2"/>
  <c r="AW323" i="2"/>
  <c r="AY323" i="2" s="1"/>
  <c r="AQ323" i="2"/>
  <c r="AI323" i="2"/>
  <c r="AW322" i="2"/>
  <c r="AY322" i="2" s="1"/>
  <c r="AQ322" i="2"/>
  <c r="AI322" i="2"/>
  <c r="AW321" i="2"/>
  <c r="AY321" i="2" s="1"/>
  <c r="AQ321" i="2"/>
  <c r="AI321" i="2"/>
  <c r="AW320" i="2"/>
  <c r="AY320" i="2" s="1"/>
  <c r="AQ320" i="2"/>
  <c r="AI320" i="2"/>
  <c r="AW319" i="2"/>
  <c r="AQ319" i="2"/>
  <c r="AI319" i="2"/>
  <c r="BC317" i="2"/>
  <c r="AV317" i="2"/>
  <c r="AU317" i="2"/>
  <c r="AF317" i="2"/>
  <c r="AE317" i="2"/>
  <c r="S317" i="2"/>
  <c r="P317" i="2"/>
  <c r="L317" i="2"/>
  <c r="AW315" i="2"/>
  <c r="AY315" i="2" s="1"/>
  <c r="AQ315" i="2"/>
  <c r="AI315" i="2"/>
  <c r="AW314" i="2"/>
  <c r="AY314" i="2" s="1"/>
  <c r="AQ314" i="2"/>
  <c r="AI314" i="2"/>
  <c r="AW313" i="2"/>
  <c r="AY313" i="2" s="1"/>
  <c r="AQ313" i="2"/>
  <c r="AI313" i="2"/>
  <c r="AW312" i="2"/>
  <c r="AY312" i="2" s="1"/>
  <c r="AQ312" i="2"/>
  <c r="AI312" i="2"/>
  <c r="AW311" i="2"/>
  <c r="AY311" i="2" s="1"/>
  <c r="AQ311" i="2"/>
  <c r="AI311" i="2"/>
  <c r="AW310" i="2"/>
  <c r="AY310" i="2" s="1"/>
  <c r="AQ310" i="2"/>
  <c r="AI310" i="2"/>
  <c r="AW309" i="2"/>
  <c r="AY309" i="2" s="1"/>
  <c r="AQ309" i="2"/>
  <c r="AI309" i="2"/>
  <c r="AW308" i="2"/>
  <c r="AY308" i="2" s="1"/>
  <c r="AQ308" i="2"/>
  <c r="AI308" i="2"/>
  <c r="AW307" i="2"/>
  <c r="AY307" i="2" s="1"/>
  <c r="AQ307" i="2"/>
  <c r="AI307" i="2"/>
  <c r="AW306" i="2"/>
  <c r="AY306" i="2" s="1"/>
  <c r="AQ306" i="2"/>
  <c r="AI306" i="2"/>
  <c r="BC304" i="2"/>
  <c r="AV304" i="2"/>
  <c r="AU304" i="2"/>
  <c r="AF304" i="2"/>
  <c r="AE304" i="2"/>
  <c r="S304" i="2"/>
  <c r="P304" i="2"/>
  <c r="L304" i="2"/>
  <c r="AW302" i="2"/>
  <c r="AY302" i="2" s="1"/>
  <c r="AQ302" i="2"/>
  <c r="AI302" i="2"/>
  <c r="AW301" i="2"/>
  <c r="AY301" i="2" s="1"/>
  <c r="AQ301" i="2"/>
  <c r="AI301" i="2"/>
  <c r="AW300" i="2"/>
  <c r="AY300" i="2" s="1"/>
  <c r="AQ300" i="2"/>
  <c r="AI300" i="2"/>
  <c r="AW299" i="2"/>
  <c r="AY299" i="2" s="1"/>
  <c r="AQ299" i="2"/>
  <c r="AI299" i="2"/>
  <c r="AW298" i="2"/>
  <c r="AY298" i="2" s="1"/>
  <c r="AQ298" i="2"/>
  <c r="AI298" i="2"/>
  <c r="AW297" i="2"/>
  <c r="AY297" i="2" s="1"/>
  <c r="AQ297" i="2"/>
  <c r="AI297" i="2"/>
  <c r="AW296" i="2"/>
  <c r="AY296" i="2" s="1"/>
  <c r="AQ296" i="2"/>
  <c r="AI296" i="2"/>
  <c r="AW295" i="2"/>
  <c r="AY295" i="2" s="1"/>
  <c r="AQ295" i="2"/>
  <c r="AI295" i="2"/>
  <c r="AW294" i="2"/>
  <c r="AY294" i="2" s="1"/>
  <c r="AQ294" i="2"/>
  <c r="AI294" i="2"/>
  <c r="AW293" i="2"/>
  <c r="AY293" i="2" s="1"/>
  <c r="AQ293" i="2"/>
  <c r="AI293" i="2"/>
  <c r="AW292" i="2"/>
  <c r="AY292" i="2" s="1"/>
  <c r="AQ292" i="2"/>
  <c r="AI292" i="2"/>
  <c r="AW291" i="2"/>
  <c r="AY291" i="2" s="1"/>
  <c r="AQ291" i="2"/>
  <c r="AI291" i="2"/>
  <c r="AW290" i="2"/>
  <c r="AQ290" i="2"/>
  <c r="AI290" i="2"/>
  <c r="BC288" i="2"/>
  <c r="AV288" i="2"/>
  <c r="AU288" i="2"/>
  <c r="AF288" i="2"/>
  <c r="AE288" i="2"/>
  <c r="S288" i="2"/>
  <c r="P288" i="2"/>
  <c r="L288" i="2"/>
  <c r="AW286" i="2"/>
  <c r="AY286" i="2" s="1"/>
  <c r="AQ286" i="2"/>
  <c r="AI286" i="2"/>
  <c r="AW285" i="2"/>
  <c r="AY285" i="2" s="1"/>
  <c r="AQ285" i="2"/>
  <c r="AI285" i="2"/>
  <c r="AW284" i="2"/>
  <c r="AY284" i="2" s="1"/>
  <c r="AQ284" i="2"/>
  <c r="AI284" i="2"/>
  <c r="AW283" i="2"/>
  <c r="AY283" i="2" s="1"/>
  <c r="AQ283" i="2"/>
  <c r="AI283" i="2"/>
  <c r="AW282" i="2"/>
  <c r="AY282" i="2" s="1"/>
  <c r="AQ282" i="2"/>
  <c r="AI282" i="2"/>
  <c r="AW281" i="2"/>
  <c r="AY281" i="2" s="1"/>
  <c r="AQ281" i="2"/>
  <c r="AI281" i="2"/>
  <c r="AW280" i="2"/>
  <c r="AY280" i="2" s="1"/>
  <c r="AQ280" i="2"/>
  <c r="AI280" i="2"/>
  <c r="AW279" i="2"/>
  <c r="AY279" i="2" s="1"/>
  <c r="AQ279" i="2"/>
  <c r="AI279" i="2"/>
  <c r="AW278" i="2"/>
  <c r="AY278" i="2" s="1"/>
  <c r="AQ278" i="2"/>
  <c r="AI278" i="2"/>
  <c r="AW277" i="2"/>
  <c r="AY277" i="2" s="1"/>
  <c r="AQ277" i="2"/>
  <c r="AI277" i="2"/>
  <c r="AW276" i="2"/>
  <c r="AY276" i="2" s="1"/>
  <c r="AQ276" i="2"/>
  <c r="AI276" i="2"/>
  <c r="AW275" i="2"/>
  <c r="AY275" i="2" s="1"/>
  <c r="AQ275" i="2"/>
  <c r="AI275" i="2"/>
  <c r="AW274" i="2"/>
  <c r="AY274" i="2" s="1"/>
  <c r="AQ274" i="2"/>
  <c r="AI274" i="2"/>
  <c r="AW273" i="2"/>
  <c r="AY273" i="2" s="1"/>
  <c r="AQ273" i="2"/>
  <c r="AI273" i="2"/>
  <c r="AW272" i="2"/>
  <c r="AY272" i="2" s="1"/>
  <c r="AQ272" i="2"/>
  <c r="AI272" i="2"/>
  <c r="AW271" i="2"/>
  <c r="AY271" i="2" s="1"/>
  <c r="AQ271" i="2"/>
  <c r="AI271" i="2"/>
  <c r="AW270" i="2"/>
  <c r="AY270" i="2" s="1"/>
  <c r="AQ270" i="2"/>
  <c r="AI270" i="2"/>
  <c r="AW269" i="2"/>
  <c r="AY269" i="2" s="1"/>
  <c r="AQ269" i="2"/>
  <c r="AI269" i="2"/>
  <c r="BC267" i="2"/>
  <c r="AV267" i="2"/>
  <c r="AU267" i="2"/>
  <c r="AF267" i="2"/>
  <c r="AE267" i="2"/>
  <c r="S267" i="2"/>
  <c r="P267" i="2"/>
  <c r="L267" i="2"/>
  <c r="AW265" i="2"/>
  <c r="AY265" i="2" s="1"/>
  <c r="AQ265" i="2"/>
  <c r="AI265" i="2"/>
  <c r="AW264" i="2"/>
  <c r="AY264" i="2" s="1"/>
  <c r="AQ264" i="2"/>
  <c r="AI264" i="2"/>
  <c r="AW263" i="2"/>
  <c r="AY263" i="2" s="1"/>
  <c r="AQ263" i="2"/>
  <c r="AI263" i="2"/>
  <c r="AW262" i="2"/>
  <c r="AY262" i="2" s="1"/>
  <c r="AQ262" i="2"/>
  <c r="AI262" i="2"/>
  <c r="AW261" i="2"/>
  <c r="AY261" i="2" s="1"/>
  <c r="AQ261" i="2"/>
  <c r="AI261" i="2"/>
  <c r="AW260" i="2"/>
  <c r="AY260" i="2" s="1"/>
  <c r="AQ260" i="2"/>
  <c r="AI260" i="2"/>
  <c r="AW259" i="2"/>
  <c r="AY259" i="2" s="1"/>
  <c r="AQ259" i="2"/>
  <c r="AI259" i="2"/>
  <c r="AW258" i="2"/>
  <c r="AY258" i="2" s="1"/>
  <c r="AQ258" i="2"/>
  <c r="AI258" i="2"/>
  <c r="AW257" i="2"/>
  <c r="AQ257" i="2"/>
  <c r="AI257" i="2"/>
  <c r="BC255" i="2"/>
  <c r="AV255" i="2"/>
  <c r="AU255" i="2"/>
  <c r="AF255" i="2"/>
  <c r="AE255" i="2"/>
  <c r="S255" i="2"/>
  <c r="P255" i="2"/>
  <c r="L255" i="2"/>
  <c r="AW253" i="2"/>
  <c r="AY253" i="2" s="1"/>
  <c r="AQ253" i="2"/>
  <c r="AI253" i="2"/>
  <c r="AW252" i="2"/>
  <c r="AY252" i="2" s="1"/>
  <c r="AQ252" i="2"/>
  <c r="AI252" i="2"/>
  <c r="AW251" i="2"/>
  <c r="AY251" i="2" s="1"/>
  <c r="AQ251" i="2"/>
  <c r="AI251" i="2"/>
  <c r="AW250" i="2"/>
  <c r="AY250" i="2" s="1"/>
  <c r="AQ250" i="2"/>
  <c r="AI250" i="2"/>
  <c r="AW249" i="2"/>
  <c r="AY249" i="2" s="1"/>
  <c r="AQ249" i="2"/>
  <c r="AI249" i="2"/>
  <c r="AW248" i="2"/>
  <c r="AY248" i="2" s="1"/>
  <c r="AQ248" i="2"/>
  <c r="AI248" i="2"/>
  <c r="AW247" i="2"/>
  <c r="AY247" i="2" s="1"/>
  <c r="AQ247" i="2"/>
  <c r="AI247" i="2"/>
  <c r="AW246" i="2"/>
  <c r="AY246" i="2" s="1"/>
  <c r="AQ246" i="2"/>
  <c r="AI246" i="2"/>
  <c r="AW245" i="2"/>
  <c r="AY245" i="2" s="1"/>
  <c r="AQ245" i="2"/>
  <c r="AI245" i="2"/>
  <c r="AW244" i="2"/>
  <c r="AY244" i="2" s="1"/>
  <c r="AQ244" i="2"/>
  <c r="AI244" i="2"/>
  <c r="AW243" i="2"/>
  <c r="AY243" i="2" s="1"/>
  <c r="AQ243" i="2"/>
  <c r="AI243" i="2"/>
  <c r="AW242" i="2"/>
  <c r="AY242" i="2" s="1"/>
  <c r="AQ242" i="2"/>
  <c r="AI242" i="2"/>
  <c r="AW241" i="2"/>
  <c r="AY241" i="2" s="1"/>
  <c r="AQ241" i="2"/>
  <c r="AI241" i="2"/>
  <c r="AW240" i="2"/>
  <c r="AY240" i="2" s="1"/>
  <c r="AQ240" i="2"/>
  <c r="AI240" i="2"/>
  <c r="AW239" i="2"/>
  <c r="AY239" i="2" s="1"/>
  <c r="AQ239" i="2"/>
  <c r="AI239" i="2"/>
  <c r="AW238" i="2"/>
  <c r="AY238" i="2" s="1"/>
  <c r="AQ238" i="2"/>
  <c r="AI238" i="2"/>
  <c r="AW237" i="2"/>
  <c r="AY237" i="2" s="1"/>
  <c r="AQ237" i="2"/>
  <c r="AI237" i="2"/>
  <c r="AW236" i="2"/>
  <c r="AY236" i="2" s="1"/>
  <c r="AQ236" i="2"/>
  <c r="AI236" i="2"/>
  <c r="AW235" i="2"/>
  <c r="AY235" i="2" s="1"/>
  <c r="AQ235" i="2"/>
  <c r="AI235" i="2"/>
  <c r="AW234" i="2"/>
  <c r="AY234" i="2" s="1"/>
  <c r="AQ234" i="2"/>
  <c r="AI234" i="2"/>
  <c r="AW233" i="2"/>
  <c r="AY233" i="2" s="1"/>
  <c r="AQ233" i="2"/>
  <c r="AI233" i="2"/>
  <c r="AW232" i="2"/>
  <c r="AY232" i="2" s="1"/>
  <c r="AQ232" i="2"/>
  <c r="AI232" i="2"/>
  <c r="AW231" i="2"/>
  <c r="AY231" i="2" s="1"/>
  <c r="AQ231" i="2"/>
  <c r="AI231" i="2"/>
  <c r="AW230" i="2"/>
  <c r="AY230" i="2" s="1"/>
  <c r="AQ230" i="2"/>
  <c r="AI230" i="2"/>
  <c r="AW229" i="2"/>
  <c r="AY229" i="2" s="1"/>
  <c r="AQ229" i="2"/>
  <c r="AI229" i="2"/>
  <c r="AW228" i="2"/>
  <c r="AY228" i="2" s="1"/>
  <c r="AQ228" i="2"/>
  <c r="AI228" i="2"/>
  <c r="AW227" i="2"/>
  <c r="AY227" i="2" s="1"/>
  <c r="AQ227" i="2"/>
  <c r="AI227" i="2"/>
  <c r="AW226" i="2"/>
  <c r="AY226" i="2" s="1"/>
  <c r="AQ226" i="2"/>
  <c r="AI226" i="2"/>
  <c r="AW225" i="2"/>
  <c r="AY225" i="2" s="1"/>
  <c r="AQ225" i="2"/>
  <c r="AI225" i="2"/>
  <c r="AW224" i="2"/>
  <c r="AQ224" i="2"/>
  <c r="AI224" i="2"/>
  <c r="BC222" i="2"/>
  <c r="AV222" i="2"/>
  <c r="AU222" i="2"/>
  <c r="AF222" i="2"/>
  <c r="AE222" i="2"/>
  <c r="S222" i="2"/>
  <c r="P222" i="2"/>
  <c r="L222" i="2"/>
  <c r="AW220" i="2"/>
  <c r="AY220" i="2" s="1"/>
  <c r="AQ220" i="2"/>
  <c r="AI220" i="2"/>
  <c r="AW219" i="2"/>
  <c r="AY219" i="2" s="1"/>
  <c r="AQ219" i="2"/>
  <c r="AI219" i="2"/>
  <c r="AW218" i="2"/>
  <c r="AY218" i="2" s="1"/>
  <c r="AQ218" i="2"/>
  <c r="AI218" i="2"/>
  <c r="AW217" i="2"/>
  <c r="AY217" i="2" s="1"/>
  <c r="AQ217" i="2"/>
  <c r="AI217" i="2"/>
  <c r="AW216" i="2"/>
  <c r="AY216" i="2" s="1"/>
  <c r="AQ216" i="2"/>
  <c r="AI216" i="2"/>
  <c r="AW215" i="2"/>
  <c r="AY215" i="2" s="1"/>
  <c r="AQ215" i="2"/>
  <c r="AI215" i="2"/>
  <c r="AW214" i="2"/>
  <c r="AY214" i="2" s="1"/>
  <c r="AQ214" i="2"/>
  <c r="AI214" i="2"/>
  <c r="AW213" i="2"/>
  <c r="AY213" i="2" s="1"/>
  <c r="AQ213" i="2"/>
  <c r="AI213" i="2"/>
  <c r="AW212" i="2"/>
  <c r="AY212" i="2" s="1"/>
  <c r="AQ212" i="2"/>
  <c r="AI212" i="2"/>
  <c r="AW211" i="2"/>
  <c r="AY211" i="2" s="1"/>
  <c r="AQ211" i="2"/>
  <c r="AI211" i="2"/>
  <c r="AW210" i="2"/>
  <c r="AY210" i="2" s="1"/>
  <c r="AQ210" i="2"/>
  <c r="AI210" i="2"/>
  <c r="AW209" i="2"/>
  <c r="AY209" i="2" s="1"/>
  <c r="AQ209" i="2"/>
  <c r="AI209" i="2"/>
  <c r="BC207" i="2"/>
  <c r="AV207" i="2"/>
  <c r="AU207" i="2"/>
  <c r="AF207" i="2"/>
  <c r="AE207" i="2"/>
  <c r="S207" i="2"/>
  <c r="P207" i="2"/>
  <c r="L207" i="2"/>
  <c r="AW205" i="2"/>
  <c r="AY205" i="2" s="1"/>
  <c r="AQ205" i="2"/>
  <c r="AI205" i="2"/>
  <c r="AW204" i="2"/>
  <c r="AY204" i="2" s="1"/>
  <c r="AQ204" i="2"/>
  <c r="AI204" i="2"/>
  <c r="AW203" i="2"/>
  <c r="AY203" i="2" s="1"/>
  <c r="AQ203" i="2"/>
  <c r="AI203" i="2"/>
  <c r="AW202" i="2"/>
  <c r="AY202" i="2" s="1"/>
  <c r="AQ202" i="2"/>
  <c r="AI202" i="2"/>
  <c r="AW201" i="2"/>
  <c r="AY201" i="2" s="1"/>
  <c r="AQ201" i="2"/>
  <c r="AI201" i="2"/>
  <c r="AW200" i="2"/>
  <c r="AY200" i="2" s="1"/>
  <c r="AQ200" i="2"/>
  <c r="AI200" i="2"/>
  <c r="AW199" i="2"/>
  <c r="AY199" i="2" s="1"/>
  <c r="AQ199" i="2"/>
  <c r="AI199" i="2"/>
  <c r="AW198" i="2"/>
  <c r="AY198" i="2" s="1"/>
  <c r="AQ198" i="2"/>
  <c r="AI198" i="2"/>
  <c r="AW197" i="2"/>
  <c r="AY197" i="2" s="1"/>
  <c r="AQ197" i="2"/>
  <c r="AI197" i="2"/>
  <c r="AW196" i="2"/>
  <c r="AY196" i="2" s="1"/>
  <c r="AQ196" i="2"/>
  <c r="AI196" i="2"/>
  <c r="AW195" i="2"/>
  <c r="AY195" i="2" s="1"/>
  <c r="AQ195" i="2"/>
  <c r="AI195" i="2"/>
  <c r="AW194" i="2"/>
  <c r="AY194" i="2" s="1"/>
  <c r="AQ194" i="2"/>
  <c r="AI194" i="2"/>
  <c r="AW193" i="2"/>
  <c r="AY193" i="2" s="1"/>
  <c r="AQ193" i="2"/>
  <c r="AI193" i="2"/>
  <c r="AW192" i="2"/>
  <c r="AQ192" i="2"/>
  <c r="AI192" i="2"/>
  <c r="BC190" i="2"/>
  <c r="AV190" i="2"/>
  <c r="AU190" i="2"/>
  <c r="AF190" i="2"/>
  <c r="AE190" i="2"/>
  <c r="S190" i="2"/>
  <c r="P190" i="2"/>
  <c r="L190" i="2"/>
  <c r="AW188" i="2"/>
  <c r="AY188" i="2" s="1"/>
  <c r="AQ188" i="2"/>
  <c r="AI188" i="2"/>
  <c r="AW187" i="2"/>
  <c r="AY187" i="2" s="1"/>
  <c r="AQ187" i="2"/>
  <c r="AI187" i="2"/>
  <c r="AW186" i="2"/>
  <c r="AY186" i="2" s="1"/>
  <c r="AQ186" i="2"/>
  <c r="AI186" i="2"/>
  <c r="AW185" i="2"/>
  <c r="AY185" i="2" s="1"/>
  <c r="AQ185" i="2"/>
  <c r="AI185" i="2"/>
  <c r="AW184" i="2"/>
  <c r="AY184" i="2" s="1"/>
  <c r="AQ184" i="2"/>
  <c r="AI184" i="2"/>
  <c r="AW183" i="2"/>
  <c r="AY183" i="2" s="1"/>
  <c r="AQ183" i="2"/>
  <c r="AI183" i="2"/>
  <c r="AW182" i="2"/>
  <c r="AY182" i="2" s="1"/>
  <c r="AQ182" i="2"/>
  <c r="AI182" i="2"/>
  <c r="AW181" i="2"/>
  <c r="AY181" i="2" s="1"/>
  <c r="AQ181" i="2"/>
  <c r="AI181" i="2"/>
  <c r="AW180" i="2"/>
  <c r="AY180" i="2" s="1"/>
  <c r="AQ180" i="2"/>
  <c r="AI180" i="2"/>
  <c r="AW179" i="2"/>
  <c r="AY179" i="2" s="1"/>
  <c r="AQ179" i="2"/>
  <c r="AI179" i="2"/>
  <c r="AW178" i="2"/>
  <c r="AY178" i="2" s="1"/>
  <c r="AQ178" i="2"/>
  <c r="AI178" i="2"/>
  <c r="AW177" i="2"/>
  <c r="AY177" i="2" s="1"/>
  <c r="AQ177" i="2"/>
  <c r="AI177" i="2"/>
  <c r="AW176" i="2"/>
  <c r="AY176" i="2" s="1"/>
  <c r="AQ176" i="2"/>
  <c r="AI176" i="2"/>
  <c r="AW175" i="2"/>
  <c r="AY175" i="2" s="1"/>
  <c r="AQ175" i="2"/>
  <c r="AI175" i="2"/>
  <c r="AW174" i="2"/>
  <c r="AY174" i="2" s="1"/>
  <c r="AQ174" i="2"/>
  <c r="AI174" i="2"/>
  <c r="AW173" i="2"/>
  <c r="AY173" i="2" s="1"/>
  <c r="AQ173" i="2"/>
  <c r="AI173" i="2"/>
  <c r="AW172" i="2"/>
  <c r="AY172" i="2" s="1"/>
  <c r="AQ172" i="2"/>
  <c r="AI172" i="2"/>
  <c r="AW171" i="2"/>
  <c r="AY171" i="2" s="1"/>
  <c r="AQ171" i="2"/>
  <c r="AI171" i="2"/>
  <c r="AW170" i="2"/>
  <c r="AY170" i="2" s="1"/>
  <c r="AQ170" i="2"/>
  <c r="AI170" i="2"/>
  <c r="AW169" i="2"/>
  <c r="AY169" i="2" s="1"/>
  <c r="AQ169" i="2"/>
  <c r="AI169" i="2"/>
  <c r="AW168" i="2"/>
  <c r="AY168" i="2" s="1"/>
  <c r="AQ168" i="2"/>
  <c r="AI168" i="2"/>
  <c r="AW167" i="2"/>
  <c r="AY167" i="2" s="1"/>
  <c r="AQ167" i="2"/>
  <c r="AI167" i="2"/>
  <c r="AW166" i="2"/>
  <c r="AY166" i="2" s="1"/>
  <c r="AQ166" i="2"/>
  <c r="AI166" i="2"/>
  <c r="BC164" i="2"/>
  <c r="AV164" i="2"/>
  <c r="AU164" i="2"/>
  <c r="AF164" i="2"/>
  <c r="AE164" i="2"/>
  <c r="S164" i="2"/>
  <c r="P164" i="2"/>
  <c r="L164" i="2"/>
  <c r="AW162" i="2"/>
  <c r="AY162" i="2" s="1"/>
  <c r="AQ162" i="2"/>
  <c r="AI162" i="2"/>
  <c r="AW161" i="2"/>
  <c r="AY161" i="2" s="1"/>
  <c r="AQ161" i="2"/>
  <c r="AI161" i="2"/>
  <c r="AW160" i="2"/>
  <c r="AY160" i="2" s="1"/>
  <c r="AQ160" i="2"/>
  <c r="AI160" i="2"/>
  <c r="AW159" i="2"/>
  <c r="AY159" i="2" s="1"/>
  <c r="AQ159" i="2"/>
  <c r="AI159" i="2"/>
  <c r="AW158" i="2"/>
  <c r="AY158" i="2" s="1"/>
  <c r="AQ158" i="2"/>
  <c r="AI158" i="2"/>
  <c r="AW157" i="2"/>
  <c r="AY157" i="2" s="1"/>
  <c r="AQ157" i="2"/>
  <c r="AI157" i="2"/>
  <c r="AW156" i="2"/>
  <c r="AY156" i="2" s="1"/>
  <c r="AQ156" i="2"/>
  <c r="AI156" i="2"/>
  <c r="AW155" i="2"/>
  <c r="AY155" i="2" s="1"/>
  <c r="AQ155" i="2"/>
  <c r="AI155" i="2"/>
  <c r="AW154" i="2"/>
  <c r="AY154" i="2" s="1"/>
  <c r="AQ154" i="2"/>
  <c r="AI154" i="2"/>
  <c r="AW153" i="2"/>
  <c r="AQ153" i="2"/>
  <c r="AI153" i="2"/>
  <c r="BC151" i="2"/>
  <c r="AV151" i="2"/>
  <c r="AU151" i="2"/>
  <c r="AF151" i="2"/>
  <c r="AE151" i="2"/>
  <c r="S151" i="2"/>
  <c r="P151" i="2"/>
  <c r="L151" i="2"/>
  <c r="AW149" i="2"/>
  <c r="AY149" i="2" s="1"/>
  <c r="AQ149" i="2"/>
  <c r="AI149" i="2"/>
  <c r="AW148" i="2"/>
  <c r="AY148" i="2" s="1"/>
  <c r="AQ148" i="2"/>
  <c r="AI148" i="2"/>
  <c r="AW147" i="2"/>
  <c r="AY147" i="2" s="1"/>
  <c r="AQ147" i="2"/>
  <c r="AI147" i="2"/>
  <c r="AW146" i="2"/>
  <c r="AY146" i="2" s="1"/>
  <c r="AQ146" i="2"/>
  <c r="AI146" i="2"/>
  <c r="AW145" i="2"/>
  <c r="AY145" i="2" s="1"/>
  <c r="AQ145" i="2"/>
  <c r="AI145" i="2"/>
  <c r="AW144" i="2"/>
  <c r="AY144" i="2" s="1"/>
  <c r="AQ144" i="2"/>
  <c r="AI144" i="2"/>
  <c r="AW143" i="2"/>
  <c r="AY143" i="2" s="1"/>
  <c r="AQ143" i="2"/>
  <c r="AI143" i="2"/>
  <c r="AW142" i="2"/>
  <c r="AY142" i="2" s="1"/>
  <c r="AQ142" i="2"/>
  <c r="AI142" i="2"/>
  <c r="AW141" i="2"/>
  <c r="AY141" i="2" s="1"/>
  <c r="AQ141" i="2"/>
  <c r="AI141" i="2"/>
  <c r="AW140" i="2"/>
  <c r="AY140" i="2" s="1"/>
  <c r="AQ140" i="2"/>
  <c r="AI140" i="2"/>
  <c r="AW139" i="2"/>
  <c r="AY139" i="2" s="1"/>
  <c r="AQ139" i="2"/>
  <c r="AI139" i="2"/>
  <c r="AW138" i="2"/>
  <c r="AY138" i="2" s="1"/>
  <c r="AQ138" i="2"/>
  <c r="AI138" i="2"/>
  <c r="AW137" i="2"/>
  <c r="AY137" i="2" s="1"/>
  <c r="AQ137" i="2"/>
  <c r="AI137" i="2"/>
  <c r="AW136" i="2"/>
  <c r="AY136" i="2" s="1"/>
  <c r="AQ136" i="2"/>
  <c r="AI136" i="2"/>
  <c r="AW135" i="2"/>
  <c r="AY135" i="2" s="1"/>
  <c r="AQ135" i="2"/>
  <c r="AI135" i="2"/>
  <c r="AW134" i="2"/>
  <c r="AY134" i="2" s="1"/>
  <c r="AQ134" i="2"/>
  <c r="AI134" i="2"/>
  <c r="AW133" i="2"/>
  <c r="AY133" i="2" s="1"/>
  <c r="AQ133" i="2"/>
  <c r="AI133" i="2"/>
  <c r="AW132" i="2"/>
  <c r="AY132" i="2" s="1"/>
  <c r="AQ132" i="2"/>
  <c r="AI132" i="2"/>
  <c r="AW131" i="2"/>
  <c r="AY131" i="2" s="1"/>
  <c r="AQ131" i="2"/>
  <c r="AI131" i="2"/>
  <c r="AW130" i="2"/>
  <c r="AY130" i="2" s="1"/>
  <c r="AQ130" i="2"/>
  <c r="AI130" i="2"/>
  <c r="AW129" i="2"/>
  <c r="AY129" i="2" s="1"/>
  <c r="AQ129" i="2"/>
  <c r="AI129" i="2"/>
  <c r="AW128" i="2"/>
  <c r="AY128" i="2" s="1"/>
  <c r="AQ128" i="2"/>
  <c r="AI128" i="2"/>
  <c r="AW127" i="2"/>
  <c r="AY127" i="2" s="1"/>
  <c r="AQ127" i="2"/>
  <c r="AI127" i="2"/>
  <c r="AW126" i="2"/>
  <c r="AY126" i="2" s="1"/>
  <c r="AQ126" i="2"/>
  <c r="AI126" i="2"/>
  <c r="AW125" i="2"/>
  <c r="AY125" i="2" s="1"/>
  <c r="AQ125" i="2"/>
  <c r="AI125" i="2"/>
  <c r="AW124" i="2"/>
  <c r="AY124" i="2" s="1"/>
  <c r="AQ124" i="2"/>
  <c r="AI124" i="2"/>
  <c r="AW123" i="2"/>
  <c r="AY123" i="2" s="1"/>
  <c r="AQ123" i="2"/>
  <c r="AI123" i="2"/>
  <c r="AW122" i="2"/>
  <c r="AY122" i="2" s="1"/>
  <c r="AQ122" i="2"/>
  <c r="AI122" i="2"/>
  <c r="AW121" i="2"/>
  <c r="AY121" i="2" s="1"/>
  <c r="AQ121" i="2"/>
  <c r="AI121" i="2"/>
  <c r="AW120" i="2"/>
  <c r="AY120" i="2" s="1"/>
  <c r="AQ120" i="2"/>
  <c r="AI120" i="2"/>
  <c r="AW119" i="2"/>
  <c r="AY119" i="2" s="1"/>
  <c r="AQ119" i="2"/>
  <c r="AI119" i="2"/>
  <c r="AW118" i="2"/>
  <c r="AY118" i="2" s="1"/>
  <c r="AQ118" i="2"/>
  <c r="AI118" i="2"/>
  <c r="AW117" i="2"/>
  <c r="AY117" i="2" s="1"/>
  <c r="AQ117" i="2"/>
  <c r="AI117" i="2"/>
  <c r="BC115" i="2"/>
  <c r="AV115" i="2"/>
  <c r="AU115" i="2"/>
  <c r="AF115" i="2"/>
  <c r="AE115" i="2"/>
  <c r="S115" i="2"/>
  <c r="P115" i="2"/>
  <c r="L115" i="2"/>
  <c r="AW113" i="2"/>
  <c r="AY113" i="2" s="1"/>
  <c r="AQ113" i="2"/>
  <c r="AI113" i="2"/>
  <c r="AW112" i="2"/>
  <c r="AY112" i="2" s="1"/>
  <c r="AQ112" i="2"/>
  <c r="AI112" i="2"/>
  <c r="AW111" i="2"/>
  <c r="AY111" i="2" s="1"/>
  <c r="AQ111" i="2"/>
  <c r="AI111" i="2"/>
  <c r="AW110" i="2"/>
  <c r="AY110" i="2" s="1"/>
  <c r="AQ110" i="2"/>
  <c r="AI110" i="2"/>
  <c r="AW109" i="2"/>
  <c r="AY109" i="2" s="1"/>
  <c r="AQ109" i="2"/>
  <c r="AI109" i="2"/>
  <c r="AW108" i="2"/>
  <c r="AY108" i="2" s="1"/>
  <c r="AQ108" i="2"/>
  <c r="AI108" i="2"/>
  <c r="AW107" i="2"/>
  <c r="AY107" i="2" s="1"/>
  <c r="AQ107" i="2"/>
  <c r="AI107" i="2"/>
  <c r="AW106" i="2"/>
  <c r="AY106" i="2" s="1"/>
  <c r="AQ106" i="2"/>
  <c r="AI106" i="2"/>
  <c r="AW105" i="2"/>
  <c r="AY105" i="2" s="1"/>
  <c r="AQ105" i="2"/>
  <c r="AI105" i="2"/>
  <c r="AW104" i="2"/>
  <c r="AY104" i="2" s="1"/>
  <c r="AQ104" i="2"/>
  <c r="AI104" i="2"/>
  <c r="AW103" i="2"/>
  <c r="AY103" i="2" s="1"/>
  <c r="AQ103" i="2"/>
  <c r="AI103" i="2"/>
  <c r="AW102" i="2"/>
  <c r="AY102" i="2" s="1"/>
  <c r="AQ102" i="2"/>
  <c r="AI102" i="2"/>
  <c r="AW101" i="2"/>
  <c r="AY101" i="2" s="1"/>
  <c r="AQ101" i="2"/>
  <c r="AI101" i="2"/>
  <c r="AW100" i="2"/>
  <c r="AY100" i="2" s="1"/>
  <c r="AQ100" i="2"/>
  <c r="AI100" i="2"/>
  <c r="AW99" i="2"/>
  <c r="AY99" i="2" s="1"/>
  <c r="AQ99" i="2"/>
  <c r="AI99" i="2"/>
  <c r="AW98" i="2"/>
  <c r="AY98" i="2" s="1"/>
  <c r="AQ98" i="2"/>
  <c r="AI98" i="2"/>
  <c r="AW97" i="2"/>
  <c r="AY97" i="2" s="1"/>
  <c r="AQ97" i="2"/>
  <c r="AI97" i="2"/>
  <c r="AW96" i="2"/>
  <c r="AY96" i="2" s="1"/>
  <c r="AQ96" i="2"/>
  <c r="AI96" i="2"/>
  <c r="AW95" i="2"/>
  <c r="AY95" i="2" s="1"/>
  <c r="AQ95" i="2"/>
  <c r="AI95" i="2"/>
  <c r="AW94" i="2"/>
  <c r="AY94" i="2" s="1"/>
  <c r="AQ94" i="2"/>
  <c r="AI94" i="2"/>
  <c r="AW93" i="2"/>
  <c r="AY93" i="2" s="1"/>
  <c r="AQ93" i="2"/>
  <c r="AI93" i="2"/>
  <c r="AW92" i="2"/>
  <c r="AQ92" i="2"/>
  <c r="AI92" i="2"/>
  <c r="BC90" i="2"/>
  <c r="AV90" i="2"/>
  <c r="AU90" i="2"/>
  <c r="AF90" i="2"/>
  <c r="AE90" i="2"/>
  <c r="S90" i="2"/>
  <c r="P90" i="2"/>
  <c r="L90" i="2"/>
  <c r="AW88" i="2"/>
  <c r="AY88" i="2" s="1"/>
  <c r="AQ88" i="2"/>
  <c r="AI88" i="2"/>
  <c r="AW87" i="2"/>
  <c r="AY87" i="2" s="1"/>
  <c r="AQ87" i="2"/>
  <c r="AI87" i="2"/>
  <c r="AW86" i="2"/>
  <c r="AY86" i="2" s="1"/>
  <c r="AQ86" i="2"/>
  <c r="AI86" i="2"/>
  <c r="AW85" i="2"/>
  <c r="AY85" i="2" s="1"/>
  <c r="AQ85" i="2"/>
  <c r="AI85" i="2"/>
  <c r="AW84" i="2"/>
  <c r="AQ84" i="2"/>
  <c r="AI84" i="2"/>
  <c r="AW83" i="2"/>
  <c r="AY83" i="2" s="1"/>
  <c r="AQ83" i="2"/>
  <c r="AI83" i="2"/>
  <c r="AW82" i="2"/>
  <c r="AY82" i="2" s="1"/>
  <c r="AQ82" i="2"/>
  <c r="AI82" i="2"/>
  <c r="AW81" i="2"/>
  <c r="AY81" i="2" s="1"/>
  <c r="AQ81" i="2"/>
  <c r="AI81" i="2"/>
  <c r="AW80" i="2"/>
  <c r="AY80" i="2" s="1"/>
  <c r="AQ80" i="2"/>
  <c r="AI80" i="2"/>
  <c r="AW79" i="2"/>
  <c r="AY79" i="2" s="1"/>
  <c r="AQ79" i="2"/>
  <c r="AI79" i="2"/>
  <c r="AW78" i="2"/>
  <c r="AY78" i="2" s="1"/>
  <c r="AQ78" i="2"/>
  <c r="AI78" i="2"/>
  <c r="AW77" i="2"/>
  <c r="AY77" i="2" s="1"/>
  <c r="AQ77" i="2"/>
  <c r="AI77" i="2"/>
  <c r="AW76" i="2"/>
  <c r="AY76" i="2" s="1"/>
  <c r="AQ76" i="2"/>
  <c r="AI76" i="2"/>
  <c r="AW75" i="2"/>
  <c r="AY75" i="2" s="1"/>
  <c r="AQ75" i="2"/>
  <c r="AI75" i="2"/>
  <c r="AW74" i="2"/>
  <c r="AY74" i="2" s="1"/>
  <c r="AQ74" i="2"/>
  <c r="AI74" i="2"/>
  <c r="BC72" i="2"/>
  <c r="AV72" i="2"/>
  <c r="AU72" i="2"/>
  <c r="AF72" i="2"/>
  <c r="AE72" i="2"/>
  <c r="S72" i="2"/>
  <c r="P72" i="2"/>
  <c r="L72" i="2"/>
  <c r="AW70" i="2"/>
  <c r="AY70" i="2" s="1"/>
  <c r="AQ70" i="2"/>
  <c r="AI70" i="2"/>
  <c r="AW69" i="2"/>
  <c r="AY69" i="2" s="1"/>
  <c r="AQ69" i="2"/>
  <c r="AI69" i="2"/>
  <c r="AW68" i="2"/>
  <c r="AY68" i="2" s="1"/>
  <c r="AQ68" i="2"/>
  <c r="AI68" i="2"/>
  <c r="AW67" i="2"/>
  <c r="AY67" i="2" s="1"/>
  <c r="AQ67" i="2"/>
  <c r="AI67" i="2"/>
  <c r="AW66" i="2"/>
  <c r="AY66" i="2" s="1"/>
  <c r="AQ66" i="2"/>
  <c r="AI66" i="2"/>
  <c r="AW65" i="2"/>
  <c r="AQ65" i="2"/>
  <c r="AI65" i="2"/>
  <c r="BC63" i="2"/>
  <c r="AV63" i="2"/>
  <c r="AU63" i="2"/>
  <c r="AF63" i="2"/>
  <c r="AE63" i="2"/>
  <c r="S63" i="2"/>
  <c r="P63" i="2"/>
  <c r="L63" i="2"/>
  <c r="AW61" i="2"/>
  <c r="AY61" i="2" s="1"/>
  <c r="AQ61" i="2"/>
  <c r="AI61" i="2"/>
  <c r="AW60" i="2"/>
  <c r="AY60" i="2" s="1"/>
  <c r="AQ60" i="2"/>
  <c r="AI60" i="2"/>
  <c r="AW59" i="2"/>
  <c r="AY59" i="2" s="1"/>
  <c r="AQ59" i="2"/>
  <c r="AI59" i="2"/>
  <c r="AW58" i="2"/>
  <c r="AY58" i="2" s="1"/>
  <c r="AQ58" i="2"/>
  <c r="AI58" i="2"/>
  <c r="AW57" i="2"/>
  <c r="AY57" i="2" s="1"/>
  <c r="AQ57" i="2"/>
  <c r="AI57" i="2"/>
  <c r="AW56" i="2"/>
  <c r="AY56" i="2" s="1"/>
  <c r="AQ56" i="2"/>
  <c r="AI56" i="2"/>
  <c r="AW55" i="2"/>
  <c r="AY55" i="2" s="1"/>
  <c r="AQ55" i="2"/>
  <c r="AI55" i="2"/>
  <c r="AW54" i="2"/>
  <c r="AY54" i="2" s="1"/>
  <c r="AQ54" i="2"/>
  <c r="AI54" i="2"/>
  <c r="AW53" i="2"/>
  <c r="AY53" i="2" s="1"/>
  <c r="AQ53" i="2"/>
  <c r="AI53" i="2"/>
  <c r="AW52" i="2"/>
  <c r="AY52" i="2" s="1"/>
  <c r="AQ52" i="2"/>
  <c r="AI52" i="2"/>
  <c r="AW51" i="2"/>
  <c r="AY51" i="2" s="1"/>
  <c r="AQ51" i="2"/>
  <c r="AI51" i="2"/>
  <c r="AW50" i="2"/>
  <c r="AY50" i="2" s="1"/>
  <c r="AQ50" i="2"/>
  <c r="AI50" i="2"/>
  <c r="AW49" i="2"/>
  <c r="AY49" i="2" s="1"/>
  <c r="AQ49" i="2"/>
  <c r="AI49" i="2"/>
  <c r="AW48" i="2"/>
  <c r="AY48" i="2" s="1"/>
  <c r="AQ48" i="2"/>
  <c r="AI48" i="2"/>
  <c r="AW47" i="2"/>
  <c r="AY47" i="2" s="1"/>
  <c r="AQ47" i="2"/>
  <c r="AI47" i="2"/>
  <c r="AW46" i="2"/>
  <c r="AY46" i="2" s="1"/>
  <c r="AQ46" i="2"/>
  <c r="AI46" i="2"/>
  <c r="AW45" i="2"/>
  <c r="AY45" i="2" s="1"/>
  <c r="AQ45" i="2"/>
  <c r="AI45" i="2"/>
  <c r="BC43" i="2"/>
  <c r="AV43" i="2"/>
  <c r="AU43" i="2"/>
  <c r="AF43" i="2"/>
  <c r="AE43" i="2"/>
  <c r="S43" i="2"/>
  <c r="P43" i="2"/>
  <c r="L43" i="2"/>
  <c r="AW41" i="2"/>
  <c r="AY41" i="2" s="1"/>
  <c r="AQ41" i="2"/>
  <c r="AI41" i="2"/>
  <c r="AW40" i="2"/>
  <c r="AY40" i="2" s="1"/>
  <c r="AQ40" i="2"/>
  <c r="AI40" i="2"/>
  <c r="AW39" i="2"/>
  <c r="AY39" i="2" s="1"/>
  <c r="AQ39" i="2"/>
  <c r="AI39" i="2"/>
  <c r="AW38" i="2"/>
  <c r="AY38" i="2" s="1"/>
  <c r="AQ38" i="2"/>
  <c r="AI38" i="2"/>
  <c r="AW37" i="2"/>
  <c r="AY37" i="2" s="1"/>
  <c r="AQ37" i="2"/>
  <c r="AI37" i="2"/>
  <c r="AW36" i="2"/>
  <c r="AY36" i="2" s="1"/>
  <c r="AQ36" i="2"/>
  <c r="AI36" i="2"/>
  <c r="AW35" i="2"/>
  <c r="AY35" i="2" s="1"/>
  <c r="AQ35" i="2"/>
  <c r="AI35" i="2"/>
  <c r="AW34" i="2"/>
  <c r="AY34" i="2" s="1"/>
  <c r="AQ34" i="2"/>
  <c r="AI34" i="2"/>
  <c r="AW33" i="2"/>
  <c r="AY33" i="2" s="1"/>
  <c r="AQ33" i="2"/>
  <c r="AI33" i="2"/>
  <c r="AW32" i="2"/>
  <c r="AY32" i="2" s="1"/>
  <c r="AQ32" i="2"/>
  <c r="AI32" i="2"/>
  <c r="AW31" i="2"/>
  <c r="AY31" i="2" s="1"/>
  <c r="AQ31" i="2"/>
  <c r="AI31" i="2"/>
  <c r="AW30" i="2"/>
  <c r="AY30" i="2" s="1"/>
  <c r="AQ30" i="2"/>
  <c r="AI30" i="2"/>
  <c r="AW29" i="2"/>
  <c r="AY29" i="2" s="1"/>
  <c r="AQ29" i="2"/>
  <c r="AI29" i="2"/>
  <c r="AW28" i="2"/>
  <c r="AY28" i="2" s="1"/>
  <c r="AQ28" i="2"/>
  <c r="AI28" i="2"/>
  <c r="AW27" i="2"/>
  <c r="AY27" i="2" s="1"/>
  <c r="AQ27" i="2"/>
  <c r="AI27" i="2"/>
  <c r="AW26" i="2"/>
  <c r="AY26" i="2" s="1"/>
  <c r="AQ26" i="2"/>
  <c r="AI26" i="2"/>
  <c r="BC24" i="2"/>
  <c r="AV24" i="2"/>
  <c r="AU24" i="2"/>
  <c r="AF24" i="2"/>
  <c r="AE24" i="2"/>
  <c r="S24" i="2"/>
  <c r="P24" i="2"/>
  <c r="L24" i="2"/>
  <c r="AW22" i="2"/>
  <c r="AY22" i="2" s="1"/>
  <c r="AQ22" i="2"/>
  <c r="AI22" i="2"/>
  <c r="AW21" i="2"/>
  <c r="AY21" i="2" s="1"/>
  <c r="AQ21" i="2"/>
  <c r="AI21" i="2"/>
  <c r="AW20" i="2"/>
  <c r="AY20" i="2" s="1"/>
  <c r="AQ20" i="2"/>
  <c r="AI20" i="2"/>
  <c r="AW19" i="2"/>
  <c r="AY19" i="2" s="1"/>
  <c r="AQ19" i="2"/>
  <c r="AI19" i="2"/>
  <c r="AW18" i="2"/>
  <c r="AY18" i="2" s="1"/>
  <c r="AQ18" i="2"/>
  <c r="AI18" i="2"/>
  <c r="AW17" i="2"/>
  <c r="AY17" i="2" s="1"/>
  <c r="AQ17" i="2"/>
  <c r="AI17" i="2"/>
  <c r="BC15" i="2"/>
  <c r="AV15" i="2"/>
  <c r="AU15" i="2"/>
  <c r="AF15" i="2"/>
  <c r="AE15" i="2"/>
  <c r="S15" i="2"/>
  <c r="P15" i="2"/>
  <c r="L15" i="2"/>
  <c r="AH12" i="2"/>
  <c r="AH10" i="2"/>
  <c r="BA8" i="2"/>
  <c r="AX8" i="2"/>
  <c r="AS8" i="2"/>
  <c r="AM8" i="2"/>
  <c r="J93" i="1"/>
  <c r="I89" i="1"/>
  <c r="W19" i="1" s="1"/>
  <c r="I84" i="1"/>
  <c r="W18" i="1" s="1"/>
  <c r="Q79" i="1"/>
  <c r="I79" i="1"/>
  <c r="W17" i="1" s="1"/>
  <c r="Q78" i="1"/>
  <c r="Q77" i="1"/>
  <c r="Q76" i="1"/>
  <c r="J73" i="1"/>
  <c r="W22" i="1" s="1"/>
  <c r="U55" i="1"/>
  <c r="I55" i="1" s="1"/>
  <c r="U53" i="1"/>
  <c r="I53" i="1" s="1"/>
  <c r="Q48" i="1"/>
  <c r="W39" i="1"/>
  <c r="W23" i="1"/>
  <c r="W31" i="1" s="1"/>
  <c r="Z13" i="1"/>
  <c r="Z12" i="1"/>
  <c r="Z11" i="1"/>
  <c r="Z10" i="1"/>
  <c r="AQ602" i="2" l="1"/>
  <c r="AQ530" i="2"/>
  <c r="AV11" i="2"/>
  <c r="U64" i="1" s="1"/>
  <c r="I16" i="1" s="1"/>
  <c r="AQ151" i="2"/>
  <c r="AF11" i="2"/>
  <c r="AI12" i="2" s="1"/>
  <c r="AJ411" i="2" s="1"/>
  <c r="AQ222" i="2"/>
  <c r="AQ190" i="2"/>
  <c r="AQ644" i="2"/>
  <c r="S11" i="2"/>
  <c r="I39" i="1" s="1"/>
  <c r="AE11" i="2"/>
  <c r="U62" i="1" s="1"/>
  <c r="I12" i="1" s="1"/>
  <c r="Y10" i="4"/>
  <c r="AW267" i="2"/>
  <c r="AY354" i="2"/>
  <c r="AY304" i="2"/>
  <c r="AQ329" i="2"/>
  <c r="AW589" i="2"/>
  <c r="AW329" i="2"/>
  <c r="AY331" i="2"/>
  <c r="AY329" i="2" s="1"/>
  <c r="AQ502" i="2"/>
  <c r="AY15" i="2"/>
  <c r="L11" i="2"/>
  <c r="AW43" i="2"/>
  <c r="AW610" i="2"/>
  <c r="U10" i="4"/>
  <c r="AW222" i="2"/>
  <c r="AW24" i="2"/>
  <c r="AW630" i="2"/>
  <c r="AQ719" i="2"/>
  <c r="AQ288" i="2"/>
  <c r="AQ63" i="2"/>
  <c r="W24" i="1"/>
  <c r="W29" i="1" s="1"/>
  <c r="AU11" i="2"/>
  <c r="AQ15" i="2"/>
  <c r="AQ90" i="2"/>
  <c r="AW304" i="2"/>
  <c r="AW719" i="2"/>
  <c r="AY721" i="2"/>
  <c r="AY719" i="2" s="1"/>
  <c r="BC11" i="2"/>
  <c r="BD259" i="2" s="1"/>
  <c r="AQ450" i="2"/>
  <c r="AQ304" i="2"/>
  <c r="AY376" i="2"/>
  <c r="AY450" i="2"/>
  <c r="AQ548" i="2"/>
  <c r="AY632" i="2"/>
  <c r="AY630" i="2" s="1"/>
  <c r="W10" i="4"/>
  <c r="Z14" i="1"/>
  <c r="P11" i="2"/>
  <c r="I35" i="1" s="1"/>
  <c r="AQ24" i="2"/>
  <c r="AY610" i="2"/>
  <c r="W20" i="1"/>
  <c r="AY24" i="2"/>
  <c r="J74" i="1"/>
  <c r="AW15" i="2"/>
  <c r="AQ43" i="2"/>
  <c r="AQ72" i="2"/>
  <c r="AY207" i="2"/>
  <c r="AW63" i="2"/>
  <c r="AQ341" i="2"/>
  <c r="AW190" i="2"/>
  <c r="AY192" i="2"/>
  <c r="AY190" i="2" s="1"/>
  <c r="AY43" i="2"/>
  <c r="K47" i="4"/>
  <c r="K39" i="4"/>
  <c r="K31" i="4"/>
  <c r="K23" i="4"/>
  <c r="K15" i="4"/>
  <c r="K51" i="4"/>
  <c r="K43" i="4"/>
  <c r="K35" i="4"/>
  <c r="K27" i="4"/>
  <c r="K19" i="4"/>
  <c r="K53" i="4"/>
  <c r="K45" i="4"/>
  <c r="K37" i="4"/>
  <c r="K29" i="4"/>
  <c r="K21" i="4"/>
  <c r="K13" i="4"/>
  <c r="K36" i="4"/>
  <c r="K32" i="4"/>
  <c r="K44" i="4"/>
  <c r="K40" i="4"/>
  <c r="K17" i="4"/>
  <c r="K14" i="4"/>
  <c r="K48" i="4"/>
  <c r="K25" i="4"/>
  <c r="K22" i="4"/>
  <c r="K18" i="4"/>
  <c r="K41" i="4"/>
  <c r="K38" i="4"/>
  <c r="K34" i="4"/>
  <c r="K28" i="4"/>
  <c r="K49" i="4"/>
  <c r="K20" i="4"/>
  <c r="K52" i="4"/>
  <c r="K50" i="4"/>
  <c r="K42" i="4"/>
  <c r="K30" i="4"/>
  <c r="K46" i="4"/>
  <c r="K16" i="4"/>
  <c r="K33" i="4"/>
  <c r="K26" i="4"/>
  <c r="K24" i="4"/>
  <c r="AW72" i="2"/>
  <c r="AY84" i="2"/>
  <c r="AY72" i="2" s="1"/>
  <c r="AQ317" i="2"/>
  <c r="AW90" i="2"/>
  <c r="AY92" i="2"/>
  <c r="AY90" i="2" s="1"/>
  <c r="AW151" i="2"/>
  <c r="AY153" i="2"/>
  <c r="AY151" i="2" s="1"/>
  <c r="AY164" i="2"/>
  <c r="AQ207" i="2"/>
  <c r="AQ267" i="2"/>
  <c r="AY267" i="2"/>
  <c r="AW115" i="2"/>
  <c r="AQ115" i="2"/>
  <c r="AQ354" i="2"/>
  <c r="AY115" i="2"/>
  <c r="AY65" i="2"/>
  <c r="AY63" i="2" s="1"/>
  <c r="AQ164" i="2"/>
  <c r="AW164" i="2"/>
  <c r="AW288" i="2"/>
  <c r="AY290" i="2"/>
  <c r="AY288" i="2" s="1"/>
  <c r="AW207" i="2"/>
  <c r="AQ255" i="2"/>
  <c r="AY344" i="2"/>
  <c r="AY341" i="2" s="1"/>
  <c r="AW341" i="2"/>
  <c r="AW376" i="2"/>
  <c r="AW530" i="2"/>
  <c r="AY543" i="2"/>
  <c r="AY530" i="2" s="1"/>
  <c r="AQ564" i="2"/>
  <c r="AQ610" i="2"/>
  <c r="AW255" i="2"/>
  <c r="AY257" i="2"/>
  <c r="AY255" i="2" s="1"/>
  <c r="AY224" i="2"/>
  <c r="AY222" i="2" s="1"/>
  <c r="AW354" i="2"/>
  <c r="AW317" i="2"/>
  <c r="AY319" i="2"/>
  <c r="AY317" i="2" s="1"/>
  <c r="AY424" i="2"/>
  <c r="AY421" i="2" s="1"/>
  <c r="AW421" i="2"/>
  <c r="AW502" i="2"/>
  <c r="AY504" i="2"/>
  <c r="AY502" i="2" s="1"/>
  <c r="AQ397" i="2"/>
  <c r="AQ376" i="2"/>
  <c r="AQ421" i="2"/>
  <c r="AQ440" i="2"/>
  <c r="AQ513" i="2"/>
  <c r="AW548" i="2"/>
  <c r="AY550" i="2"/>
  <c r="AY548" i="2" s="1"/>
  <c r="AW440" i="2"/>
  <c r="AY442" i="2"/>
  <c r="AY440" i="2" s="1"/>
  <c r="AW397" i="2"/>
  <c r="AY399" i="2"/>
  <c r="AY397" i="2" s="1"/>
  <c r="AY513" i="2"/>
  <c r="AW564" i="2"/>
  <c r="AY566" i="2"/>
  <c r="AY564" i="2" s="1"/>
  <c r="AQ473" i="2"/>
  <c r="AY589" i="2"/>
  <c r="AY602" i="2"/>
  <c r="AY653" i="2"/>
  <c r="AY644" i="2" s="1"/>
  <c r="AW644" i="2"/>
  <c r="AW513" i="2"/>
  <c r="AW450" i="2"/>
  <c r="AW473" i="2"/>
  <c r="AY475" i="2"/>
  <c r="AY473" i="2" s="1"/>
  <c r="AW602" i="2"/>
  <c r="AY702" i="2"/>
  <c r="AY680" i="2" s="1"/>
  <c r="AW680" i="2"/>
  <c r="AQ680" i="2"/>
  <c r="AY770" i="2"/>
  <c r="AY760" i="2" s="1"/>
  <c r="AW760" i="2"/>
  <c r="AQ589" i="2"/>
  <c r="AQ662" i="2"/>
  <c r="AQ630" i="2"/>
  <c r="AY665" i="2"/>
  <c r="AY662" i="2" s="1"/>
  <c r="AW662" i="2"/>
  <c r="AQ706" i="2"/>
  <c r="AQ760" i="2"/>
  <c r="AW706" i="2"/>
  <c r="AY708" i="2"/>
  <c r="AY706" i="2" s="1"/>
  <c r="Q10" i="4"/>
  <c r="R30" i="4" s="1"/>
  <c r="Z329" i="2" s="1"/>
  <c r="AA329" i="2" s="1"/>
  <c r="I329" i="3" s="1"/>
  <c r="M99" i="2" l="1"/>
  <c r="M739" i="2"/>
  <c r="I14" i="1"/>
  <c r="Z44" i="4"/>
  <c r="AB589" i="2" s="1"/>
  <c r="AC589" i="2" s="1"/>
  <c r="J589" i="3" s="1"/>
  <c r="M31" i="2"/>
  <c r="M125" i="2"/>
  <c r="M528" i="2"/>
  <c r="M171" i="2"/>
  <c r="M607" i="2"/>
  <c r="AJ598" i="2"/>
  <c r="M56" i="2"/>
  <c r="M447" i="2"/>
  <c r="M127" i="2"/>
  <c r="M442" i="2"/>
  <c r="AJ145" i="2"/>
  <c r="M217" i="2"/>
  <c r="M625" i="2"/>
  <c r="M54" i="2"/>
  <c r="M416" i="2"/>
  <c r="M67" i="2"/>
  <c r="M280" i="2"/>
  <c r="M717" i="2"/>
  <c r="M282" i="2"/>
  <c r="M727" i="2"/>
  <c r="M215" i="2"/>
  <c r="M94" i="2"/>
  <c r="M294" i="2"/>
  <c r="M344" i="2"/>
  <c r="M527" i="2"/>
  <c r="M533" i="2"/>
  <c r="M658" i="2"/>
  <c r="AJ294" i="2"/>
  <c r="I18" i="1"/>
  <c r="I64" i="1" s="1"/>
  <c r="AJ97" i="2"/>
  <c r="AJ600" i="2"/>
  <c r="M49" i="2"/>
  <c r="M102" i="2"/>
  <c r="M302" i="2"/>
  <c r="M271" i="2"/>
  <c r="M558" i="2"/>
  <c r="M535" i="2"/>
  <c r="M698" i="2"/>
  <c r="AJ352" i="2"/>
  <c r="M30" i="2"/>
  <c r="M142" i="2"/>
  <c r="M205" i="2"/>
  <c r="M225" i="2"/>
  <c r="M373" i="2"/>
  <c r="M427" i="2"/>
  <c r="M475" i="2"/>
  <c r="M640" i="2"/>
  <c r="M729" i="2"/>
  <c r="AJ142" i="2"/>
  <c r="BD125" i="2"/>
  <c r="M213" i="2"/>
  <c r="M209" i="2"/>
  <c r="M646" i="2"/>
  <c r="M567" i="2"/>
  <c r="M642" i="2"/>
  <c r="AJ144" i="2"/>
  <c r="M162" i="2"/>
  <c r="M167" i="2"/>
  <c r="M245" i="2"/>
  <c r="M308" i="2"/>
  <c r="M485" i="2"/>
  <c r="M537" i="2"/>
  <c r="M700" i="2"/>
  <c r="AJ117" i="2"/>
  <c r="AJ482" i="2"/>
  <c r="M22" i="2"/>
  <c r="M323" i="2"/>
  <c r="M522" i="2"/>
  <c r="BD523" i="2"/>
  <c r="M40" i="2"/>
  <c r="M123" i="2"/>
  <c r="M169" i="2"/>
  <c r="M247" i="2"/>
  <c r="M310" i="2"/>
  <c r="M525" i="2"/>
  <c r="M655" i="2"/>
  <c r="M763" i="2"/>
  <c r="AJ168" i="2"/>
  <c r="BD127" i="2"/>
  <c r="BD752" i="2"/>
  <c r="AJ755" i="2"/>
  <c r="AJ688" i="2"/>
  <c r="AJ639" i="2"/>
  <c r="AJ533" i="2"/>
  <c r="AJ409" i="2"/>
  <c r="AJ510" i="2"/>
  <c r="AJ297" i="2"/>
  <c r="AJ292" i="2"/>
  <c r="AJ311" i="2"/>
  <c r="AJ306" i="2"/>
  <c r="AJ87" i="2"/>
  <c r="AJ98" i="2"/>
  <c r="AJ93" i="2"/>
  <c r="AJ51" i="2"/>
  <c r="AJ170" i="2"/>
  <c r="AJ82" i="2"/>
  <c r="AJ608" i="2"/>
  <c r="AJ480" i="2"/>
  <c r="AJ211" i="2"/>
  <c r="AJ107" i="2"/>
  <c r="AJ770" i="2"/>
  <c r="AJ750" i="2"/>
  <c r="AJ614" i="2"/>
  <c r="AJ388" i="2"/>
  <c r="AJ407" i="2"/>
  <c r="AJ494" i="2"/>
  <c r="AJ379" i="2"/>
  <c r="AJ290" i="2"/>
  <c r="AJ309" i="2"/>
  <c r="AJ200" i="2"/>
  <c r="AJ85" i="2"/>
  <c r="AJ94" i="2"/>
  <c r="AJ36" i="2"/>
  <c r="AJ49" i="2"/>
  <c r="AJ137" i="2"/>
  <c r="AJ60" i="2"/>
  <c r="AJ766" i="2"/>
  <c r="AJ491" i="2"/>
  <c r="AJ538" i="2"/>
  <c r="AJ242" i="2"/>
  <c r="AJ215" i="2"/>
  <c r="AJ32" i="2"/>
  <c r="AJ312" i="2"/>
  <c r="AJ768" i="2"/>
  <c r="AJ640" i="2"/>
  <c r="AJ616" i="2"/>
  <c r="AJ386" i="2"/>
  <c r="AJ543" i="2"/>
  <c r="AJ490" i="2"/>
  <c r="AJ369" i="2"/>
  <c r="AJ244" i="2"/>
  <c r="AJ307" i="2"/>
  <c r="AJ308" i="2"/>
  <c r="AJ310" i="2"/>
  <c r="AJ92" i="2"/>
  <c r="AJ34" i="2"/>
  <c r="AJ111" i="2"/>
  <c r="AJ131" i="2"/>
  <c r="AJ27" i="2"/>
  <c r="AJ384" i="2"/>
  <c r="AJ365" i="2"/>
  <c r="AJ271" i="2"/>
  <c r="AJ172" i="2"/>
  <c r="AJ184" i="2"/>
  <c r="AJ728" i="2"/>
  <c r="AJ604" i="2"/>
  <c r="AJ489" i="2"/>
  <c r="AJ569" i="2"/>
  <c r="AJ511" i="2"/>
  <c r="AJ432" i="2"/>
  <c r="AJ406" i="2"/>
  <c r="AJ240" i="2"/>
  <c r="AJ269" i="2"/>
  <c r="AJ146" i="2"/>
  <c r="AJ198" i="2"/>
  <c r="AJ141" i="2"/>
  <c r="AJ219" i="2"/>
  <c r="AJ99" i="2"/>
  <c r="AJ88" i="2"/>
  <c r="AJ21" i="2"/>
  <c r="AJ110" i="2"/>
  <c r="AJ700" i="2"/>
  <c r="AJ41" i="2"/>
  <c r="AJ153" i="2"/>
  <c r="AJ280" i="2"/>
  <c r="AJ426" i="2"/>
  <c r="AJ550" i="2"/>
  <c r="BD36" i="2"/>
  <c r="BD772" i="2"/>
  <c r="BD637" i="2"/>
  <c r="BD393" i="2"/>
  <c r="BD233" i="2"/>
  <c r="BD99" i="2"/>
  <c r="BD26" i="2"/>
  <c r="BD634" i="2"/>
  <c r="BD389" i="2"/>
  <c r="BD229" i="2"/>
  <c r="BD97" i="2"/>
  <c r="BD535" i="2"/>
  <c r="BD110" i="2"/>
  <c r="BD537" i="2"/>
  <c r="BD412" i="2"/>
  <c r="BD227" i="2"/>
  <c r="BD93" i="2"/>
  <c r="BD404" i="2"/>
  <c r="BD79" i="2"/>
  <c r="BD753" i="2"/>
  <c r="BD525" i="2"/>
  <c r="BD261" i="2"/>
  <c r="BD108" i="2"/>
  <c r="BD181" i="2"/>
  <c r="R52" i="4"/>
  <c r="Z719" i="2" s="1"/>
  <c r="AA719" i="2" s="1"/>
  <c r="I719" i="3" s="1"/>
  <c r="AJ35" i="2"/>
  <c r="AJ395" i="2"/>
  <c r="AJ560" i="2"/>
  <c r="BD410" i="2"/>
  <c r="AJ37" i="2"/>
  <c r="AJ301" i="2"/>
  <c r="BD415" i="2"/>
  <c r="AJ53" i="2"/>
  <c r="AJ155" i="2"/>
  <c r="AJ282" i="2"/>
  <c r="AJ416" i="2"/>
  <c r="AJ485" i="2"/>
  <c r="BD52" i="2"/>
  <c r="BD534" i="2"/>
  <c r="AJ54" i="2"/>
  <c r="AJ101" i="2"/>
  <c r="AJ314" i="2"/>
  <c r="AJ381" i="2"/>
  <c r="AJ552" i="2"/>
  <c r="AJ622" i="2"/>
  <c r="BD129" i="2"/>
  <c r="BD756" i="2"/>
  <c r="AJ129" i="2"/>
  <c r="AJ299" i="2"/>
  <c r="AJ698" i="2"/>
  <c r="BD751" i="2"/>
  <c r="AJ253" i="2"/>
  <c r="AJ544" i="2"/>
  <c r="AJ19" i="2"/>
  <c r="AJ139" i="2"/>
  <c r="AJ118" i="2"/>
  <c r="AJ284" i="2"/>
  <c r="AJ461" i="2"/>
  <c r="AJ596" i="2"/>
  <c r="BD146" i="2"/>
  <c r="BD538" i="2"/>
  <c r="M573" i="2"/>
  <c r="M333" i="2"/>
  <c r="M431" i="2"/>
  <c r="M389" i="2"/>
  <c r="M532" i="2"/>
  <c r="M576" i="2"/>
  <c r="M608" i="2"/>
  <c r="M628" i="2"/>
  <c r="M660" i="2"/>
  <c r="M736" i="2"/>
  <c r="M731" i="2"/>
  <c r="M58" i="2"/>
  <c r="M104" i="2"/>
  <c r="M265" i="2"/>
  <c r="M604" i="2"/>
  <c r="M391" i="2"/>
  <c r="M626" i="2"/>
  <c r="M744" i="2"/>
  <c r="M65" i="2"/>
  <c r="M35" i="2"/>
  <c r="M59" i="2"/>
  <c r="M147" i="2"/>
  <c r="M161" i="2"/>
  <c r="M523" i="2"/>
  <c r="M297" i="2"/>
  <c r="M359" i="2"/>
  <c r="M394" i="2"/>
  <c r="M649" i="2"/>
  <c r="M479" i="2"/>
  <c r="M393" i="2"/>
  <c r="M399" i="2"/>
  <c r="M664" i="2"/>
  <c r="M627" i="2"/>
  <c r="M617" i="2"/>
  <c r="M767" i="2"/>
  <c r="M746" i="2"/>
  <c r="M751" i="2"/>
  <c r="M57" i="2"/>
  <c r="M309" i="2"/>
  <c r="M435" i="2"/>
  <c r="M374" i="2"/>
  <c r="M683" i="2"/>
  <c r="M37" i="2"/>
  <c r="M126" i="2"/>
  <c r="M170" i="2"/>
  <c r="M192" i="2"/>
  <c r="M202" i="2"/>
  <c r="M321" i="2"/>
  <c r="M365" i="2"/>
  <c r="M252" i="2"/>
  <c r="M386" i="2"/>
  <c r="M484" i="2"/>
  <c r="M438" i="2"/>
  <c r="M401" i="2"/>
  <c r="M461" i="2"/>
  <c r="M614" i="2"/>
  <c r="M619" i="2"/>
  <c r="M710" i="2"/>
  <c r="M713" i="2"/>
  <c r="M34" i="2"/>
  <c r="M145" i="2"/>
  <c r="M226" i="2"/>
  <c r="M538" i="2"/>
  <c r="M579" i="2"/>
  <c r="M598" i="2"/>
  <c r="M749" i="2"/>
  <c r="M33" i="2"/>
  <c r="M68" i="2"/>
  <c r="M144" i="2"/>
  <c r="M188" i="2"/>
  <c r="M194" i="2"/>
  <c r="M204" i="2"/>
  <c r="M243" i="2"/>
  <c r="M412" i="2"/>
  <c r="M269" i="2"/>
  <c r="M380" i="2"/>
  <c r="M487" i="2"/>
  <c r="M482" i="2"/>
  <c r="M419" i="2"/>
  <c r="M463" i="2"/>
  <c r="M616" i="2"/>
  <c r="M638" i="2"/>
  <c r="M659" i="2"/>
  <c r="M715" i="2"/>
  <c r="G377" i="3"/>
  <c r="K377" i="3" s="1"/>
  <c r="Z46" i="4"/>
  <c r="AB610" i="2" s="1"/>
  <c r="AC610" i="2" s="1"/>
  <c r="J610" i="3" s="1"/>
  <c r="Z39" i="4"/>
  <c r="AB502" i="2" s="1"/>
  <c r="AC502" i="2" s="1"/>
  <c r="J502" i="3" s="1"/>
  <c r="Z53" i="4"/>
  <c r="AB760" i="2" s="1"/>
  <c r="AC760" i="2" s="1"/>
  <c r="J760" i="3" s="1"/>
  <c r="Z25" i="4"/>
  <c r="AB255" i="2" s="1"/>
  <c r="AC255" i="2" s="1"/>
  <c r="J255" i="3" s="1"/>
  <c r="G611" i="3"/>
  <c r="K611" i="3" s="1"/>
  <c r="BD112" i="2"/>
  <c r="BD444" i="2"/>
  <c r="BD265" i="2"/>
  <c r="BD520" i="2"/>
  <c r="BD424" i="2"/>
  <c r="BD540" i="2"/>
  <c r="BD527" i="2"/>
  <c r="BD539" i="2"/>
  <c r="BD649" i="2"/>
  <c r="BD710" i="2"/>
  <c r="BD755" i="2"/>
  <c r="M36" i="2"/>
  <c r="M128" i="2"/>
  <c r="M70" i="2"/>
  <c r="M80" i="2"/>
  <c r="M172" i="2"/>
  <c r="M106" i="2"/>
  <c r="M173" i="2"/>
  <c r="M227" i="2"/>
  <c r="M292" i="2"/>
  <c r="M311" i="2"/>
  <c r="M346" i="2"/>
  <c r="M273" i="2"/>
  <c r="M445" i="2"/>
  <c r="M557" i="2"/>
  <c r="M561" i="2"/>
  <c r="M490" i="2"/>
  <c r="M574" i="2"/>
  <c r="M480" i="2"/>
  <c r="M465" i="2"/>
  <c r="M673" i="2"/>
  <c r="M648" i="2"/>
  <c r="M633" i="2"/>
  <c r="M682" i="2"/>
  <c r="M748" i="2"/>
  <c r="AJ123" i="2"/>
  <c r="AJ50" i="2"/>
  <c r="AJ66" i="2"/>
  <c r="AJ55" i="2"/>
  <c r="AJ38" i="2"/>
  <c r="AJ188" i="2"/>
  <c r="AJ157" i="2"/>
  <c r="AJ126" i="2"/>
  <c r="AJ209" i="2"/>
  <c r="AJ273" i="2"/>
  <c r="AJ286" i="2"/>
  <c r="AJ296" i="2"/>
  <c r="AJ418" i="2"/>
  <c r="AJ389" i="2"/>
  <c r="AJ486" i="2"/>
  <c r="AJ413" i="2"/>
  <c r="AJ390" i="2"/>
  <c r="AJ493" i="2"/>
  <c r="AJ613" i="2"/>
  <c r="AJ732" i="2"/>
  <c r="BD138" i="2"/>
  <c r="BD122" i="2"/>
  <c r="BD131" i="2"/>
  <c r="BD236" i="2"/>
  <c r="BD290" i="2"/>
  <c r="BD426" i="2"/>
  <c r="BD550" i="2"/>
  <c r="BD687" i="2"/>
  <c r="G441" i="3"/>
  <c r="K441" i="3" s="1"/>
  <c r="M18" i="2"/>
  <c r="M120" i="2"/>
  <c r="M140" i="2"/>
  <c r="M75" i="2"/>
  <c r="M93" i="2"/>
  <c r="M234" i="2"/>
  <c r="M74" i="2"/>
  <c r="M82" i="2"/>
  <c r="M131" i="2"/>
  <c r="M174" i="2"/>
  <c r="M382" i="2"/>
  <c r="M108" i="2"/>
  <c r="M296" i="2"/>
  <c r="M175" i="2"/>
  <c r="M293" i="2"/>
  <c r="M235" i="2"/>
  <c r="M210" i="2"/>
  <c r="M300" i="2"/>
  <c r="M251" i="2"/>
  <c r="M313" i="2"/>
  <c r="M516" i="2"/>
  <c r="M348" i="2"/>
  <c r="M238" i="2"/>
  <c r="M275" i="2"/>
  <c r="M337" i="2"/>
  <c r="M509" i="2"/>
  <c r="M486" i="2"/>
  <c r="M716" i="2"/>
  <c r="M495" i="2"/>
  <c r="M570" i="2"/>
  <c r="M430" i="2"/>
  <c r="M493" i="2"/>
  <c r="M360" i="2"/>
  <c r="M405" i="2"/>
  <c r="M483" i="2"/>
  <c r="M572" i="2"/>
  <c r="M467" i="2"/>
  <c r="M566" i="2"/>
  <c r="M765" i="2"/>
  <c r="M677" i="2"/>
  <c r="M668" i="2"/>
  <c r="M624" i="2"/>
  <c r="M635" i="2"/>
  <c r="M687" i="2"/>
  <c r="M684" i="2"/>
  <c r="M728" i="2"/>
  <c r="M750" i="2"/>
  <c r="M770" i="2"/>
  <c r="M735" i="2"/>
  <c r="AJ119" i="2"/>
  <c r="AJ149" i="2"/>
  <c r="AJ20" i="2"/>
  <c r="AJ80" i="2"/>
  <c r="AJ186" i="2"/>
  <c r="AJ68" i="2"/>
  <c r="AJ143" i="2"/>
  <c r="AJ57" i="2"/>
  <c r="AJ166" i="2"/>
  <c r="AJ40" i="2"/>
  <c r="AJ113" i="2"/>
  <c r="AJ225" i="2"/>
  <c r="AJ102" i="2"/>
  <c r="AJ159" i="2"/>
  <c r="AJ204" i="2"/>
  <c r="AJ128" i="2"/>
  <c r="AJ175" i="2"/>
  <c r="AJ156" i="2"/>
  <c r="AJ237" i="2"/>
  <c r="AJ283" i="2"/>
  <c r="AJ337" i="2"/>
  <c r="AJ224" i="2"/>
  <c r="AJ334" i="2"/>
  <c r="AJ321" i="2"/>
  <c r="AJ525" i="2"/>
  <c r="AJ636" i="2"/>
  <c r="AJ345" i="2"/>
  <c r="AJ534" i="2"/>
  <c r="AJ469" i="2"/>
  <c r="AJ467" i="2"/>
  <c r="AJ368" i="2"/>
  <c r="AJ444" i="2"/>
  <c r="AJ492" i="2"/>
  <c r="AJ429" i="2"/>
  <c r="AJ593" i="2"/>
  <c r="AJ522" i="2"/>
  <c r="AJ584" i="2"/>
  <c r="AJ634" i="2"/>
  <c r="AJ648" i="2"/>
  <c r="AJ734" i="2"/>
  <c r="AJ703" i="2"/>
  <c r="AJ753" i="2"/>
  <c r="BD27" i="2"/>
  <c r="BD142" i="2"/>
  <c r="BD234" i="2"/>
  <c r="BD180" i="2"/>
  <c r="BD295" i="2"/>
  <c r="BD299" i="2"/>
  <c r="BD284" i="2"/>
  <c r="BD362" i="2"/>
  <c r="BD497" i="2"/>
  <c r="BD581" i="2"/>
  <c r="BD622" i="2"/>
  <c r="BD633" i="2"/>
  <c r="BD656" i="2"/>
  <c r="BD646" i="2"/>
  <c r="BD768" i="2"/>
  <c r="G503" i="3"/>
  <c r="M160" i="2"/>
  <c r="M148" i="2"/>
  <c r="M69" i="2"/>
  <c r="M146" i="2"/>
  <c r="M195" i="2"/>
  <c r="M97" i="2"/>
  <c r="M290" i="2"/>
  <c r="M76" i="2"/>
  <c r="M84" i="2"/>
  <c r="M139" i="2"/>
  <c r="M176" i="2"/>
  <c r="M489" i="2"/>
  <c r="M110" i="2"/>
  <c r="M199" i="2"/>
  <c r="M183" i="2"/>
  <c r="M301" i="2"/>
  <c r="M259" i="2"/>
  <c r="M212" i="2"/>
  <c r="M324" i="2"/>
  <c r="M274" i="2"/>
  <c r="M315" i="2"/>
  <c r="M650" i="2"/>
  <c r="M350" i="2"/>
  <c r="M240" i="2"/>
  <c r="M283" i="2"/>
  <c r="M339" i="2"/>
  <c r="M518" i="2"/>
  <c r="M555" i="2"/>
  <c r="M378" i="2"/>
  <c r="M577" i="2"/>
  <c r="M672" i="2"/>
  <c r="M432" i="2"/>
  <c r="M498" i="2"/>
  <c r="M362" i="2"/>
  <c r="M413" i="2"/>
  <c r="M488" i="2"/>
  <c r="M575" i="2"/>
  <c r="M469" i="2"/>
  <c r="M568" i="2"/>
  <c r="M597" i="2"/>
  <c r="M708" i="2"/>
  <c r="M592" i="2"/>
  <c r="M647" i="2"/>
  <c r="M637" i="2"/>
  <c r="M695" i="2"/>
  <c r="M686" i="2"/>
  <c r="M730" i="2"/>
  <c r="M752" i="2"/>
  <c r="M772" i="2"/>
  <c r="M743" i="2"/>
  <c r="M107" i="2"/>
  <c r="AJ17" i="2"/>
  <c r="AJ176" i="2"/>
  <c r="AJ22" i="2"/>
  <c r="AJ26" i="2"/>
  <c r="AJ29" i="2"/>
  <c r="AJ70" i="2"/>
  <c r="AJ227" i="2"/>
  <c r="AJ59" i="2"/>
  <c r="AJ174" i="2"/>
  <c r="AJ67" i="2"/>
  <c r="AJ121" i="2"/>
  <c r="AJ217" i="2"/>
  <c r="AJ104" i="2"/>
  <c r="AJ161" i="2"/>
  <c r="AJ213" i="2"/>
  <c r="AJ130" i="2"/>
  <c r="AJ177" i="2"/>
  <c r="AJ158" i="2"/>
  <c r="AJ239" i="2"/>
  <c r="AJ285" i="2"/>
  <c r="AJ339" i="2"/>
  <c r="AJ226" i="2"/>
  <c r="AJ336" i="2"/>
  <c r="AJ323" i="2"/>
  <c r="AJ535" i="2"/>
  <c r="AJ258" i="2"/>
  <c r="AJ347" i="2"/>
  <c r="AJ539" i="2"/>
  <c r="AJ488" i="2"/>
  <c r="AJ509" i="2"/>
  <c r="AJ370" i="2"/>
  <c r="AJ446" i="2"/>
  <c r="AJ500" i="2"/>
  <c r="AJ433" i="2"/>
  <c r="AJ620" i="2"/>
  <c r="AJ524" i="2"/>
  <c r="AJ605" i="2"/>
  <c r="AJ691" i="2"/>
  <c r="AJ650" i="2"/>
  <c r="AJ666" i="2"/>
  <c r="AJ665" i="2"/>
  <c r="BD28" i="2"/>
  <c r="BD169" i="2"/>
  <c r="BD281" i="2"/>
  <c r="BD184" i="2"/>
  <c r="BD331" i="2"/>
  <c r="BD407" i="2"/>
  <c r="BD286" i="2"/>
  <c r="BD365" i="2"/>
  <c r="BD613" i="2"/>
  <c r="BD597" i="2"/>
  <c r="BD638" i="2"/>
  <c r="BD672" i="2"/>
  <c r="BD673" i="2"/>
  <c r="BD648" i="2"/>
  <c r="BD770" i="2"/>
  <c r="AJ773" i="2"/>
  <c r="AJ710" i="2"/>
  <c r="AJ743" i="2"/>
  <c r="AJ725" i="2"/>
  <c r="AJ762" i="2"/>
  <c r="AJ675" i="2"/>
  <c r="AJ756" i="2"/>
  <c r="AJ724" i="2"/>
  <c r="AJ674" i="2"/>
  <c r="AJ653" i="2"/>
  <c r="AJ754" i="2"/>
  <c r="AJ684" i="2"/>
  <c r="AJ627" i="2"/>
  <c r="AJ637" i="2"/>
  <c r="AJ579" i="2"/>
  <c r="AJ765" i="2"/>
  <c r="AJ749" i="2"/>
  <c r="AJ729" i="2"/>
  <c r="AJ764" i="2"/>
  <c r="AJ763" i="2"/>
  <c r="AJ747" i="2"/>
  <c r="AJ727" i="2"/>
  <c r="AJ717" i="2"/>
  <c r="AJ671" i="2"/>
  <c r="AJ744" i="2"/>
  <c r="AJ694" i="2"/>
  <c r="AJ664" i="2"/>
  <c r="AJ624" i="2"/>
  <c r="AJ685" i="2"/>
  <c r="AJ625" i="2"/>
  <c r="AJ606" i="2"/>
  <c r="AJ573" i="2"/>
  <c r="AJ619" i="2"/>
  <c r="AJ592" i="2"/>
  <c r="AJ586" i="2"/>
  <c r="AJ570" i="2"/>
  <c r="AJ555" i="2"/>
  <c r="AJ518" i="2"/>
  <c r="AJ487" i="2"/>
  <c r="AJ591" i="2"/>
  <c r="AJ595" i="2"/>
  <c r="AJ519" i="2"/>
  <c r="AJ431" i="2"/>
  <c r="AJ714" i="2"/>
  <c r="AJ745" i="2"/>
  <c r="AJ723" i="2"/>
  <c r="AJ715" i="2"/>
  <c r="AJ712" i="2"/>
  <c r="AJ741" i="2"/>
  <c r="AJ721" i="2"/>
  <c r="AJ713" i="2"/>
  <c r="AJ667" i="2"/>
  <c r="AJ736" i="2"/>
  <c r="AJ678" i="2"/>
  <c r="AJ655" i="2"/>
  <c r="AJ722" i="2"/>
  <c r="AJ682" i="2"/>
  <c r="AJ621" i="2"/>
  <c r="AJ587" i="2"/>
  <c r="AJ726" i="2"/>
  <c r="AJ615" i="2"/>
  <c r="AJ660" i="2"/>
  <c r="AJ582" i="2"/>
  <c r="AJ638" i="2"/>
  <c r="AJ551" i="2"/>
  <c r="AJ499" i="2"/>
  <c r="AJ483" i="2"/>
  <c r="AJ738" i="2"/>
  <c r="AJ633" i="2"/>
  <c r="AJ470" i="2"/>
  <c r="AJ427" i="2"/>
  <c r="AJ739" i="2"/>
  <c r="AJ711" i="2"/>
  <c r="AJ701" i="2"/>
  <c r="AJ696" i="2"/>
  <c r="AJ651" i="2"/>
  <c r="AJ695" i="2"/>
  <c r="AJ646" i="2"/>
  <c r="AJ585" i="2"/>
  <c r="AJ758" i="2"/>
  <c r="AJ594" i="2"/>
  <c r="AJ580" i="2"/>
  <c r="AJ561" i="2"/>
  <c r="AJ520" i="2"/>
  <c r="AJ481" i="2"/>
  <c r="AJ568" i="2"/>
  <c r="AJ527" i="2"/>
  <c r="AJ425" i="2"/>
  <c r="AJ382" i="2"/>
  <c r="AJ484" i="2"/>
  <c r="AJ545" i="2"/>
  <c r="AJ442" i="2"/>
  <c r="AJ405" i="2"/>
  <c r="AJ366" i="2"/>
  <c r="AJ562" i="2"/>
  <c r="AJ462" i="2"/>
  <c r="AJ408" i="2"/>
  <c r="AJ465" i="2"/>
  <c r="AJ453" i="2"/>
  <c r="AJ532" i="2"/>
  <c r="AJ385" i="2"/>
  <c r="AJ343" i="2"/>
  <c r="AJ295" i="2"/>
  <c r="AJ505" i="2"/>
  <c r="AJ458" i="2"/>
  <c r="AJ498" i="2"/>
  <c r="AJ350" i="2"/>
  <c r="AJ319" i="2"/>
  <c r="AJ265" i="2"/>
  <c r="AJ332" i="2"/>
  <c r="AJ238" i="2"/>
  <c r="AJ205" i="2"/>
  <c r="AJ278" i="2"/>
  <c r="AJ335" i="2"/>
  <c r="AJ220" i="2"/>
  <c r="AJ281" i="2"/>
  <c r="AJ251" i="2"/>
  <c r="AJ235" i="2"/>
  <c r="AJ229" i="2"/>
  <c r="AJ154" i="2"/>
  <c r="AJ202" i="2"/>
  <c r="AJ173" i="2"/>
  <c r="AJ140" i="2"/>
  <c r="AJ124" i="2"/>
  <c r="AJ79" i="2"/>
  <c r="AJ771" i="2"/>
  <c r="AJ737" i="2"/>
  <c r="AJ709" i="2"/>
  <c r="AJ752" i="2"/>
  <c r="AJ692" i="2"/>
  <c r="AJ649" i="2"/>
  <c r="AJ689" i="2"/>
  <c r="AJ623" i="2"/>
  <c r="AJ583" i="2"/>
  <c r="AJ690" i="2"/>
  <c r="AJ697" i="2"/>
  <c r="AJ578" i="2"/>
  <c r="AJ559" i="2"/>
  <c r="AJ516" i="2"/>
  <c r="AJ479" i="2"/>
  <c r="AJ566" i="2"/>
  <c r="AJ506" i="2"/>
  <c r="AJ423" i="2"/>
  <c r="AJ380" i="2"/>
  <c r="AJ476" i="2"/>
  <c r="AJ540" i="2"/>
  <c r="AJ419" i="2"/>
  <c r="AJ403" i="2"/>
  <c r="AJ364" i="2"/>
  <c r="AJ554" i="2"/>
  <c r="AJ599" i="2"/>
  <c r="AJ400" i="2"/>
  <c r="AJ464" i="2"/>
  <c r="AJ443" i="2"/>
  <c r="AJ496" i="2"/>
  <c r="AJ383" i="2"/>
  <c r="AJ326" i="2"/>
  <c r="AJ293" i="2"/>
  <c r="AJ452" i="2"/>
  <c r="AJ424" i="2"/>
  <c r="AJ478" i="2"/>
  <c r="AJ348" i="2"/>
  <c r="AJ302" i="2"/>
  <c r="AJ263" i="2"/>
  <c r="AJ252" i="2"/>
  <c r="AJ236" i="2"/>
  <c r="AJ203" i="2"/>
  <c r="AJ276" i="2"/>
  <c r="AJ333" i="2"/>
  <c r="AJ218" i="2"/>
  <c r="AJ279" i="2"/>
  <c r="AJ249" i="2"/>
  <c r="AJ233" i="2"/>
  <c r="AJ197" i="2"/>
  <c r="AJ456" i="2"/>
  <c r="AJ187" i="2"/>
  <c r="AJ171" i="2"/>
  <c r="AJ138" i="2"/>
  <c r="AJ122" i="2"/>
  <c r="AJ77" i="2"/>
  <c r="AJ196" i="2"/>
  <c r="AJ112" i="2"/>
  <c r="AJ96" i="2"/>
  <c r="AJ180" i="2"/>
  <c r="AJ109" i="2"/>
  <c r="AJ65" i="2"/>
  <c r="AJ182" i="2"/>
  <c r="AJ74" i="2"/>
  <c r="AJ47" i="2"/>
  <c r="AJ103" i="2"/>
  <c r="AJ39" i="2"/>
  <c r="AJ769" i="2"/>
  <c r="AJ733" i="2"/>
  <c r="AJ702" i="2"/>
  <c r="AJ748" i="2"/>
  <c r="AJ676" i="2"/>
  <c r="AJ647" i="2"/>
  <c r="AJ686" i="2"/>
  <c r="AJ693" i="2"/>
  <c r="AJ581" i="2"/>
  <c r="AJ641" i="2"/>
  <c r="AJ658" i="2"/>
  <c r="AJ576" i="2"/>
  <c r="AJ557" i="2"/>
  <c r="AJ497" i="2"/>
  <c r="AJ477" i="2"/>
  <c r="AJ635" i="2"/>
  <c r="AJ459" i="2"/>
  <c r="AJ394" i="2"/>
  <c r="AJ378" i="2"/>
  <c r="AJ468" i="2"/>
  <c r="AJ521" i="2"/>
  <c r="AJ417" i="2"/>
  <c r="AJ401" i="2"/>
  <c r="AJ362" i="2"/>
  <c r="AJ541" i="2"/>
  <c r="AJ517" i="2"/>
  <c r="AJ391" i="2"/>
  <c r="AJ460" i="2"/>
  <c r="AJ393" i="2"/>
  <c r="AJ412" i="2"/>
  <c r="AJ373" i="2"/>
  <c r="AJ324" i="2"/>
  <c r="AJ291" i="2"/>
  <c r="AJ448" i="2"/>
  <c r="AJ414" i="2"/>
  <c r="AJ410" i="2"/>
  <c r="AJ346" i="2"/>
  <c r="AJ300" i="2"/>
  <c r="AJ261" i="2"/>
  <c r="AJ250" i="2"/>
  <c r="AJ234" i="2"/>
  <c r="AJ201" i="2"/>
  <c r="AJ274" i="2"/>
  <c r="AJ331" i="2"/>
  <c r="AJ216" i="2"/>
  <c r="AJ277" i="2"/>
  <c r="AJ247" i="2"/>
  <c r="AJ597" i="2"/>
  <c r="AJ195" i="2"/>
  <c r="AJ434" i="2"/>
  <c r="AJ185" i="2"/>
  <c r="AJ169" i="2"/>
  <c r="AJ136" i="2"/>
  <c r="AJ120" i="2"/>
  <c r="AJ361" i="2"/>
  <c r="AJ767" i="2"/>
  <c r="AJ731" i="2"/>
  <c r="AJ677" i="2"/>
  <c r="AJ740" i="2"/>
  <c r="AJ672" i="2"/>
  <c r="AJ628" i="2"/>
  <c r="AJ683" i="2"/>
  <c r="AJ659" i="2"/>
  <c r="AJ577" i="2"/>
  <c r="AJ617" i="2"/>
  <c r="AJ656" i="2"/>
  <c r="AJ574" i="2"/>
  <c r="AJ553" i="2"/>
  <c r="AJ495" i="2"/>
  <c r="AJ475" i="2"/>
  <c r="AJ699" i="2"/>
  <c r="AJ447" i="2"/>
  <c r="AJ392" i="2"/>
  <c r="AJ612" i="2"/>
  <c r="AJ457" i="2"/>
  <c r="AJ471" i="2"/>
  <c r="AJ415" i="2"/>
  <c r="AJ399" i="2"/>
  <c r="AJ360" i="2"/>
  <c r="AJ536" i="2"/>
  <c r="AJ508" i="2"/>
  <c r="AJ387" i="2"/>
  <c r="AJ445" i="2"/>
  <c r="AJ367" i="2"/>
  <c r="AJ404" i="2"/>
  <c r="AJ371" i="2"/>
  <c r="AJ322" i="2"/>
  <c r="AJ264" i="2"/>
  <c r="AJ428" i="2"/>
  <c r="AJ358" i="2"/>
  <c r="AJ363" i="2"/>
  <c r="AJ344" i="2"/>
  <c r="AJ298" i="2"/>
  <c r="AJ259" i="2"/>
  <c r="AJ248" i="2"/>
  <c r="AJ232" i="2"/>
  <c r="AJ199" i="2"/>
  <c r="AJ272" i="2"/>
  <c r="AJ315" i="2"/>
  <c r="AJ214" i="2"/>
  <c r="AJ275" i="2"/>
  <c r="AJ245" i="2"/>
  <c r="AJ556" i="2"/>
  <c r="AJ193" i="2"/>
  <c r="AJ231" i="2"/>
  <c r="AJ183" i="2"/>
  <c r="AJ167" i="2"/>
  <c r="M111" i="2"/>
  <c r="M154" i="2"/>
  <c r="M134" i="2"/>
  <c r="M158" i="2"/>
  <c r="M197" i="2"/>
  <c r="M101" i="2"/>
  <c r="M45" i="2"/>
  <c r="M322" i="2"/>
  <c r="M86" i="2"/>
  <c r="M141" i="2"/>
  <c r="M178" i="2"/>
  <c r="M554" i="2"/>
  <c r="M157" i="2"/>
  <c r="M219" i="2"/>
  <c r="M185" i="2"/>
  <c r="M325" i="2"/>
  <c r="M291" i="2"/>
  <c r="M220" i="2"/>
  <c r="M392" i="2"/>
  <c r="M276" i="2"/>
  <c r="M332" i="2"/>
  <c r="M369" i="2"/>
  <c r="M511" i="2"/>
  <c r="M242" i="2"/>
  <c r="M285" i="2"/>
  <c r="M356" i="2"/>
  <c r="M552" i="2"/>
  <c r="M418" i="2"/>
  <c r="M478" i="2"/>
  <c r="M606" i="2"/>
  <c r="M379" i="2"/>
  <c r="M434" i="2"/>
  <c r="M517" i="2"/>
  <c r="M364" i="2"/>
  <c r="M415" i="2"/>
  <c r="M491" i="2"/>
  <c r="M585" i="2"/>
  <c r="M508" i="2"/>
  <c r="M578" i="2"/>
  <c r="M599" i="2"/>
  <c r="M773" i="2"/>
  <c r="M594" i="2"/>
  <c r="M634" i="2"/>
  <c r="M639" i="2"/>
  <c r="M697" i="2"/>
  <c r="M688" i="2"/>
  <c r="M732" i="2"/>
  <c r="M709" i="2"/>
  <c r="M702" i="2"/>
  <c r="M745" i="2"/>
  <c r="M26" i="2"/>
  <c r="AJ46" i="2"/>
  <c r="AJ359" i="2"/>
  <c r="AJ56" i="2"/>
  <c r="AJ52" i="2"/>
  <c r="AJ31" i="2"/>
  <c r="AJ76" i="2"/>
  <c r="AJ430" i="2"/>
  <c r="AJ61" i="2"/>
  <c r="AJ28" i="2"/>
  <c r="AJ69" i="2"/>
  <c r="AJ135" i="2"/>
  <c r="AJ402" i="2"/>
  <c r="AJ106" i="2"/>
  <c r="AJ192" i="2"/>
  <c r="AJ81" i="2"/>
  <c r="AJ132" i="2"/>
  <c r="AJ179" i="2"/>
  <c r="AJ160" i="2"/>
  <c r="AJ241" i="2"/>
  <c r="AJ210" i="2"/>
  <c r="AJ357" i="2"/>
  <c r="AJ228" i="2"/>
  <c r="AJ338" i="2"/>
  <c r="AJ325" i="2"/>
  <c r="AJ687" i="2"/>
  <c r="AJ260" i="2"/>
  <c r="AJ349" i="2"/>
  <c r="AJ546" i="2"/>
  <c r="AJ507" i="2"/>
  <c r="AJ515" i="2"/>
  <c r="AJ372" i="2"/>
  <c r="AJ455" i="2"/>
  <c r="AJ504" i="2"/>
  <c r="AJ435" i="2"/>
  <c r="AJ746" i="2"/>
  <c r="AJ526" i="2"/>
  <c r="AJ607" i="2"/>
  <c r="AJ571" i="2"/>
  <c r="AJ652" i="2"/>
  <c r="AJ668" i="2"/>
  <c r="AJ669" i="2"/>
  <c r="AJ757" i="2"/>
  <c r="BD46" i="2"/>
  <c r="BD177" i="2"/>
  <c r="BD518" i="2"/>
  <c r="BD188" i="2"/>
  <c r="BD333" i="2"/>
  <c r="BD448" i="2"/>
  <c r="BD307" i="2"/>
  <c r="BD367" i="2"/>
  <c r="BD617" i="2"/>
  <c r="BD608" i="2"/>
  <c r="BD765" i="2"/>
  <c r="BD685" i="2"/>
  <c r="BD691" i="2"/>
  <c r="BD650" i="2"/>
  <c r="BD749" i="2"/>
  <c r="BD743" i="2"/>
  <c r="BD725" i="2"/>
  <c r="BD766" i="2"/>
  <c r="BD746" i="2"/>
  <c r="BD703" i="2"/>
  <c r="BD724" i="2"/>
  <c r="BD654" i="2"/>
  <c r="BD693" i="2"/>
  <c r="BD640" i="2"/>
  <c r="BD607" i="2"/>
  <c r="BD572" i="2"/>
  <c r="BD660" i="2"/>
  <c r="BD619" i="2"/>
  <c r="BD541" i="2"/>
  <c r="BD471" i="2"/>
  <c r="BD453" i="2"/>
  <c r="BD573" i="2"/>
  <c r="BD560" i="2"/>
  <c r="BD521" i="2"/>
  <c r="BD488" i="2"/>
  <c r="BD639" i="2"/>
  <c r="BD690" i="2"/>
  <c r="BD544" i="2"/>
  <c r="BD507" i="2"/>
  <c r="BD456" i="2"/>
  <c r="BD485" i="2"/>
  <c r="BD436" i="2"/>
  <c r="BD391" i="2"/>
  <c r="BD487" i="2"/>
  <c r="BD682" i="2"/>
  <c r="BD445" i="2"/>
  <c r="BD442" i="2"/>
  <c r="BD583" i="2"/>
  <c r="BD475" i="2"/>
  <c r="BD352" i="2"/>
  <c r="BD319" i="2"/>
  <c r="BD263" i="2"/>
  <c r="BD419" i="2"/>
  <c r="BD313" i="2"/>
  <c r="BD276" i="2"/>
  <c r="BD241" i="2"/>
  <c r="BD364" i="2"/>
  <c r="BD262" i="2"/>
  <c r="BD366" i="2"/>
  <c r="BD252" i="2"/>
  <c r="BD235" i="2"/>
  <c r="BD198" i="2"/>
  <c r="BD339" i="2"/>
  <c r="BD283" i="2"/>
  <c r="BD192" i="2"/>
  <c r="BD106" i="2"/>
  <c r="BD378" i="2"/>
  <c r="BD186" i="2"/>
  <c r="BD168" i="2"/>
  <c r="BD133" i="2"/>
  <c r="BD88" i="2"/>
  <c r="BD275" i="2"/>
  <c r="BD217" i="2"/>
  <c r="BD113" i="2"/>
  <c r="BD95" i="2"/>
  <c r="BD74" i="2"/>
  <c r="BD185" i="2"/>
  <c r="BD85" i="2"/>
  <c r="BD171" i="2"/>
  <c r="BD83" i="2"/>
  <c r="BD128" i="2"/>
  <c r="U63" i="1"/>
  <c r="I20" i="1" s="1"/>
  <c r="I63" i="1" s="1"/>
  <c r="BD20" i="2"/>
  <c r="BD54" i="2"/>
  <c r="BD747" i="2"/>
  <c r="BD727" i="2"/>
  <c r="BD764" i="2"/>
  <c r="BD734" i="2"/>
  <c r="BD748" i="2"/>
  <c r="BD767" i="2"/>
  <c r="BD627" i="2"/>
  <c r="BD657" i="2"/>
  <c r="BD626" i="2"/>
  <c r="BD570" i="2"/>
  <c r="BD647" i="2"/>
  <c r="BD587" i="2"/>
  <c r="BD533" i="2"/>
  <c r="BD459" i="2"/>
  <c r="BD614" i="2"/>
  <c r="BD562" i="2"/>
  <c r="BD517" i="2"/>
  <c r="BD484" i="2"/>
  <c r="BD618" i="2"/>
  <c r="BD600" i="2"/>
  <c r="BD532" i="2"/>
  <c r="BD460" i="2"/>
  <c r="BD493" i="2"/>
  <c r="BD434" i="2"/>
  <c r="BD387" i="2"/>
  <c r="BD651" i="2"/>
  <c r="BD481" i="2"/>
  <c r="BD405" i="2"/>
  <c r="BD384" i="2"/>
  <c r="BD401" i="2"/>
  <c r="BD350" i="2"/>
  <c r="BD300" i="2"/>
  <c r="BD257" i="2"/>
  <c r="BD336" i="2"/>
  <c r="BD282" i="2"/>
  <c r="BD247" i="2"/>
  <c r="BD557" i="2"/>
  <c r="BD220" i="2"/>
  <c r="BD291" i="2"/>
  <c r="BD244" i="2"/>
  <c r="BD225" i="2"/>
  <c r="BD358" i="2"/>
  <c r="BD380" i="2"/>
  <c r="BD194" i="2"/>
  <c r="BD104" i="2"/>
  <c r="BD260" i="2"/>
  <c r="BD178" i="2"/>
  <c r="BD143" i="2"/>
  <c r="BD123" i="2"/>
  <c r="BD349" i="2"/>
  <c r="BD228" i="2"/>
  <c r="BD111" i="2"/>
  <c r="BD201" i="2"/>
  <c r="BD55" i="2"/>
  <c r="BD124" i="2"/>
  <c r="BD39" i="2"/>
  <c r="BD134" i="2"/>
  <c r="BD38" i="2"/>
  <c r="BD297" i="2"/>
  <c r="BD32" i="2"/>
  <c r="BD33" i="2"/>
  <c r="BD745" i="2"/>
  <c r="BD723" i="2"/>
  <c r="BD762" i="2"/>
  <c r="BD730" i="2"/>
  <c r="BD744" i="2"/>
  <c r="BD708" i="2"/>
  <c r="BD623" i="2"/>
  <c r="BD655" i="2"/>
  <c r="BD605" i="2"/>
  <c r="BD709" i="2"/>
  <c r="BD635" i="2"/>
  <c r="BD579" i="2"/>
  <c r="BD510" i="2"/>
  <c r="BD457" i="2"/>
  <c r="BD594" i="2"/>
  <c r="BD558" i="2"/>
  <c r="BD515" i="2"/>
  <c r="BD482" i="2"/>
  <c r="BD604" i="2"/>
  <c r="BD571" i="2"/>
  <c r="BD511" i="2"/>
  <c r="BD458" i="2"/>
  <c r="BD446" i="2"/>
  <c r="BD432" i="2"/>
  <c r="BD385" i="2"/>
  <c r="BD575" i="2"/>
  <c r="BD670" i="2"/>
  <c r="BD382" i="2"/>
  <c r="BD372" i="2"/>
  <c r="BD399" i="2"/>
  <c r="BD348" i="2"/>
  <c r="BD298" i="2"/>
  <c r="BD418" i="2"/>
  <c r="BD334" i="2"/>
  <c r="BD280" i="2"/>
  <c r="BD245" i="2"/>
  <c r="BD359" i="2"/>
  <c r="BD218" i="2"/>
  <c r="BD403" i="2"/>
  <c r="BD242" i="2"/>
  <c r="BD204" i="2"/>
  <c r="BD301" i="2"/>
  <c r="BD322" i="2"/>
  <c r="BD161" i="2"/>
  <c r="BD102" i="2"/>
  <c r="BD400" i="2"/>
  <c r="BD176" i="2"/>
  <c r="BD141" i="2"/>
  <c r="BD121" i="2"/>
  <c r="BD324" i="2"/>
  <c r="BD197" i="2"/>
  <c r="BD109" i="2"/>
  <c r="BD199" i="2"/>
  <c r="BD53" i="2"/>
  <c r="BD371" i="2"/>
  <c r="BD187" i="2"/>
  <c r="BD120" i="2"/>
  <c r="BD60" i="2"/>
  <c r="BD126" i="2"/>
  <c r="BD21" i="2"/>
  <c r="BD258" i="2"/>
  <c r="BD741" i="2"/>
  <c r="BD721" i="2"/>
  <c r="BD715" i="2"/>
  <c r="BD726" i="2"/>
  <c r="BD740" i="2"/>
  <c r="BD694" i="2"/>
  <c r="BD621" i="2"/>
  <c r="BD763" i="2"/>
  <c r="BD586" i="2"/>
  <c r="BD677" i="2"/>
  <c r="BD632" i="2"/>
  <c r="BD568" i="2"/>
  <c r="BD506" i="2"/>
  <c r="BD455" i="2"/>
  <c r="BD716" i="2"/>
  <c r="BD554" i="2"/>
  <c r="BD500" i="2"/>
  <c r="BD480" i="2"/>
  <c r="BD598" i="2"/>
  <c r="BD567" i="2"/>
  <c r="BD509" i="2"/>
  <c r="BD454" i="2"/>
  <c r="BD666" i="2"/>
  <c r="BD430" i="2"/>
  <c r="BD383" i="2"/>
  <c r="BD524" i="2"/>
  <c r="BD559" i="2"/>
  <c r="BD595" i="2"/>
  <c r="BD435" i="2"/>
  <c r="BD394" i="2"/>
  <c r="BD346" i="2"/>
  <c r="BD296" i="2"/>
  <c r="BD363" i="2"/>
  <c r="BD332" i="2"/>
  <c r="BD278" i="2"/>
  <c r="BD239" i="2"/>
  <c r="BD345" i="2"/>
  <c r="BD216" i="2"/>
  <c r="BD351" i="2"/>
  <c r="BD240" i="2"/>
  <c r="BD202" i="2"/>
  <c r="BD293" i="2"/>
  <c r="BD232" i="2"/>
  <c r="BD159" i="2"/>
  <c r="BD100" i="2"/>
  <c r="BD285" i="2"/>
  <c r="BD174" i="2"/>
  <c r="BD139" i="2"/>
  <c r="BD117" i="2"/>
  <c r="BD226" i="2"/>
  <c r="BD195" i="2"/>
  <c r="BD105" i="2"/>
  <c r="BD132" i="2"/>
  <c r="BD51" i="2"/>
  <c r="BD271" i="2"/>
  <c r="BD179" i="2"/>
  <c r="BD277" i="2"/>
  <c r="BD35" i="2"/>
  <c r="BD48" i="2"/>
  <c r="BD19" i="2"/>
  <c r="BD18" i="2"/>
  <c r="BD739" i="2"/>
  <c r="BD704" i="2"/>
  <c r="BD713" i="2"/>
  <c r="BD722" i="2"/>
  <c r="BD736" i="2"/>
  <c r="BD668" i="2"/>
  <c r="BD689" i="2"/>
  <c r="BD712" i="2"/>
  <c r="BD582" i="2"/>
  <c r="BD674" i="2"/>
  <c r="BD624" i="2"/>
  <c r="BD566" i="2"/>
  <c r="BD504" i="2"/>
  <c r="BD697" i="2"/>
  <c r="BD699" i="2"/>
  <c r="BD552" i="2"/>
  <c r="BD498" i="2"/>
  <c r="BD478" i="2"/>
  <c r="BD577" i="2"/>
  <c r="BD546" i="2"/>
  <c r="BD505" i="2"/>
  <c r="BD653" i="2"/>
  <c r="BD636" i="2"/>
  <c r="BD428" i="2"/>
  <c r="BD381" i="2"/>
  <c r="BD516" i="2"/>
  <c r="BD499" i="2"/>
  <c r="BD414" i="2"/>
  <c r="BD431" i="2"/>
  <c r="BD373" i="2"/>
  <c r="BD344" i="2"/>
  <c r="BD292" i="2"/>
  <c r="BD526" i="2"/>
  <c r="BD315" i="2"/>
  <c r="BD272" i="2"/>
  <c r="BD237" i="2"/>
  <c r="BD326" i="2"/>
  <c r="BD214" i="2"/>
  <c r="BD343" i="2"/>
  <c r="BD238" i="2"/>
  <c r="BD200" i="2"/>
  <c r="BD337" i="2"/>
  <c r="BD203" i="2"/>
  <c r="BD157" i="2"/>
  <c r="BD96" i="2"/>
  <c r="BD269" i="2"/>
  <c r="BD172" i="2"/>
  <c r="BD137" i="2"/>
  <c r="BD86" i="2"/>
  <c r="BD224" i="2"/>
  <c r="BD193" i="2"/>
  <c r="BD103" i="2"/>
  <c r="BD118" i="2"/>
  <c r="BD49" i="2"/>
  <c r="BD130" i="2"/>
  <c r="BD148" i="2"/>
  <c r="BD219" i="2"/>
  <c r="BD167" i="2"/>
  <c r="BD34" i="2"/>
  <c r="BD17" i="2"/>
  <c r="BD175" i="2"/>
  <c r="BD737" i="2"/>
  <c r="BD758" i="2"/>
  <c r="BD732" i="2"/>
  <c r="BD671" i="2"/>
  <c r="BD580" i="2"/>
  <c r="BD642" i="2"/>
  <c r="BD469" i="2"/>
  <c r="BD688" i="2"/>
  <c r="BD496" i="2"/>
  <c r="BD711" i="2"/>
  <c r="BD470" i="2"/>
  <c r="BD585" i="2"/>
  <c r="BD599" i="2"/>
  <c r="BD437" i="2"/>
  <c r="BD427" i="2"/>
  <c r="BD327" i="2"/>
  <c r="BD443" i="2"/>
  <c r="BD270" i="2"/>
  <c r="BD314" i="2"/>
  <c r="BD320" i="2"/>
  <c r="BD411" i="2"/>
  <c r="BD402" i="2"/>
  <c r="BD94" i="2"/>
  <c r="BD170" i="2"/>
  <c r="BD84" i="2"/>
  <c r="BD160" i="2"/>
  <c r="BD87" i="2"/>
  <c r="BD70" i="2"/>
  <c r="BD77" i="2"/>
  <c r="BD29" i="2"/>
  <c r="BD58" i="2"/>
  <c r="BD735" i="2"/>
  <c r="BD754" i="2"/>
  <c r="BD692" i="2"/>
  <c r="BD773" i="2"/>
  <c r="BD578" i="2"/>
  <c r="BD641" i="2"/>
  <c r="BD467" i="2"/>
  <c r="BD678" i="2"/>
  <c r="BD494" i="2"/>
  <c r="BD669" i="2"/>
  <c r="BD466" i="2"/>
  <c r="BD561" i="2"/>
  <c r="BD495" i="2"/>
  <c r="BD433" i="2"/>
  <c r="BD423" i="2"/>
  <c r="BD323" i="2"/>
  <c r="BD416" i="2"/>
  <c r="BD253" i="2"/>
  <c r="BD312" i="2"/>
  <c r="BD264" i="2"/>
  <c r="BD408" i="2"/>
  <c r="BD273" i="2"/>
  <c r="BD92" i="2"/>
  <c r="BD149" i="2"/>
  <c r="BD82" i="2"/>
  <c r="BD158" i="2"/>
  <c r="BD81" i="2"/>
  <c r="BD68" i="2"/>
  <c r="BD67" i="2"/>
  <c r="BD144" i="2"/>
  <c r="BD731" i="2"/>
  <c r="BD750" i="2"/>
  <c r="BD675" i="2"/>
  <c r="BD695" i="2"/>
  <c r="BD576" i="2"/>
  <c r="BD612" i="2"/>
  <c r="BD465" i="2"/>
  <c r="BD616" i="2"/>
  <c r="BD492" i="2"/>
  <c r="BD620" i="2"/>
  <c r="BD464" i="2"/>
  <c r="BD553" i="2"/>
  <c r="BD479" i="2"/>
  <c r="BD425" i="2"/>
  <c r="BD417" i="2"/>
  <c r="BD321" i="2"/>
  <c r="BD360" i="2"/>
  <c r="BD251" i="2"/>
  <c r="BD308" i="2"/>
  <c r="BD250" i="2"/>
  <c r="BD388" i="2"/>
  <c r="BD209" i="2"/>
  <c r="BD390" i="2"/>
  <c r="BD147" i="2"/>
  <c r="BD80" i="2"/>
  <c r="BD156" i="2"/>
  <c r="BD59" i="2"/>
  <c r="BD66" i="2"/>
  <c r="BD65" i="2"/>
  <c r="BD22" i="2"/>
  <c r="BD729" i="2"/>
  <c r="BD742" i="2"/>
  <c r="BD667" i="2"/>
  <c r="BD659" i="2"/>
  <c r="BD574" i="2"/>
  <c r="BD592" i="2"/>
  <c r="BD463" i="2"/>
  <c r="BD596" i="2"/>
  <c r="BD486" i="2"/>
  <c r="BD606" i="2"/>
  <c r="BD462" i="2"/>
  <c r="BD522" i="2"/>
  <c r="BD701" i="2"/>
  <c r="BD413" i="2"/>
  <c r="BD409" i="2"/>
  <c r="BD302" i="2"/>
  <c r="BD338" i="2"/>
  <c r="BD249" i="2"/>
  <c r="BD306" i="2"/>
  <c r="BD248" i="2"/>
  <c r="BD368" i="2"/>
  <c r="BD196" i="2"/>
  <c r="BD279" i="2"/>
  <c r="BD145" i="2"/>
  <c r="BD78" i="2"/>
  <c r="BD154" i="2"/>
  <c r="BD57" i="2"/>
  <c r="BD41" i="2"/>
  <c r="BD40" i="2"/>
  <c r="BD50" i="2"/>
  <c r="M20" i="2"/>
  <c r="M60" i="2"/>
  <c r="M298" i="2"/>
  <c r="M61" i="2"/>
  <c r="M129" i="2"/>
  <c r="M236" i="2"/>
  <c r="M232" i="2"/>
  <c r="M261" i="2"/>
  <c r="M326" i="2"/>
  <c r="M249" i="2"/>
  <c r="M414" i="2"/>
  <c r="M653" i="2"/>
  <c r="M335" i="2"/>
  <c r="M466" i="2"/>
  <c r="M492" i="2"/>
  <c r="M395" i="2"/>
  <c r="M403" i="2"/>
  <c r="M676" i="2"/>
  <c r="M545" i="2"/>
  <c r="M667" i="2"/>
  <c r="M621" i="2"/>
  <c r="M685" i="2"/>
  <c r="M771" i="2"/>
  <c r="M768" i="2"/>
  <c r="M733" i="2"/>
  <c r="AJ133" i="2"/>
  <c r="AJ18" i="2"/>
  <c r="AJ178" i="2"/>
  <c r="AJ125" i="2"/>
  <c r="AJ78" i="2"/>
  <c r="AJ105" i="2"/>
  <c r="AJ100" i="2"/>
  <c r="AJ438" i="2"/>
  <c r="AJ148" i="2"/>
  <c r="AJ436" i="2"/>
  <c r="AJ313" i="2"/>
  <c r="AJ246" i="2"/>
  <c r="AJ742" i="2"/>
  <c r="AJ320" i="2"/>
  <c r="AJ730" i="2"/>
  <c r="AJ642" i="2"/>
  <c r="AJ454" i="2"/>
  <c r="AJ558" i="2"/>
  <c r="AJ572" i="2"/>
  <c r="AJ657" i="2"/>
  <c r="AJ626" i="2"/>
  <c r="AJ772" i="2"/>
  <c r="BD101" i="2"/>
  <c r="BD155" i="2"/>
  <c r="BD491" i="2"/>
  <c r="BD392" i="2"/>
  <c r="BD542" i="2"/>
  <c r="BD543" i="2"/>
  <c r="BD714" i="2"/>
  <c r="BD757" i="2"/>
  <c r="G549" i="3"/>
  <c r="K549" i="3" s="1"/>
  <c r="G152" i="3"/>
  <c r="K152" i="3" s="1"/>
  <c r="M136" i="2"/>
  <c r="M122" i="2"/>
  <c r="M46" i="2"/>
  <c r="M263" i="2"/>
  <c r="M130" i="2"/>
  <c r="M47" i="2"/>
  <c r="M77" i="2"/>
  <c r="M88" i="2"/>
  <c r="M143" i="2"/>
  <c r="M186" i="2"/>
  <c r="M92" i="2"/>
  <c r="M159" i="2"/>
  <c r="M230" i="2"/>
  <c r="M187" i="2"/>
  <c r="M200" i="2"/>
  <c r="M299" i="2"/>
  <c r="M257" i="2"/>
  <c r="M560" i="2"/>
  <c r="M278" i="2"/>
  <c r="M357" i="2"/>
  <c r="M371" i="2"/>
  <c r="M515" i="2"/>
  <c r="M244" i="2"/>
  <c r="M306" i="2"/>
  <c r="M526" i="2"/>
  <c r="M562" i="2"/>
  <c r="M423" i="2"/>
  <c r="M497" i="2"/>
  <c r="M519" i="2"/>
  <c r="M387" i="2"/>
  <c r="M436" i="2"/>
  <c r="M520" i="2"/>
  <c r="M366" i="2"/>
  <c r="M417" i="2"/>
  <c r="M534" i="2"/>
  <c r="M622" i="2"/>
  <c r="M510" i="2"/>
  <c r="M581" i="2"/>
  <c r="M612" i="2"/>
  <c r="M605" i="2"/>
  <c r="M596" i="2"/>
  <c r="M636" i="2"/>
  <c r="M641" i="2"/>
  <c r="M699" i="2"/>
  <c r="M696" i="2"/>
  <c r="M734" i="2"/>
  <c r="M711" i="2"/>
  <c r="M704" i="2"/>
  <c r="M747" i="2"/>
  <c r="M85" i="2"/>
  <c r="AJ75" i="2"/>
  <c r="AJ58" i="2"/>
  <c r="AJ48" i="2"/>
  <c r="AJ86" i="2"/>
  <c r="AJ33" i="2"/>
  <c r="AJ95" i="2"/>
  <c r="AJ45" i="2"/>
  <c r="AJ127" i="2"/>
  <c r="AJ30" i="2"/>
  <c r="AJ84" i="2"/>
  <c r="AJ147" i="2"/>
  <c r="AJ463" i="2"/>
  <c r="AJ108" i="2"/>
  <c r="AJ194" i="2"/>
  <c r="AJ83" i="2"/>
  <c r="AJ134" i="2"/>
  <c r="AJ181" i="2"/>
  <c r="AJ162" i="2"/>
  <c r="AJ243" i="2"/>
  <c r="AJ212" i="2"/>
  <c r="AJ270" i="2"/>
  <c r="AJ230" i="2"/>
  <c r="AJ257" i="2"/>
  <c r="AJ327" i="2"/>
  <c r="AJ356" i="2"/>
  <c r="AJ262" i="2"/>
  <c r="AJ351" i="2"/>
  <c r="AJ567" i="2"/>
  <c r="AJ537" i="2"/>
  <c r="AJ523" i="2"/>
  <c r="AJ374" i="2"/>
  <c r="AJ466" i="2"/>
  <c r="AJ542" i="2"/>
  <c r="AJ437" i="2"/>
  <c r="AJ618" i="2"/>
  <c r="AJ528" i="2"/>
  <c r="AJ632" i="2"/>
  <c r="AJ575" i="2"/>
  <c r="AJ654" i="2"/>
  <c r="AJ670" i="2"/>
  <c r="AJ673" i="2"/>
  <c r="AJ708" i="2"/>
  <c r="BD75" i="2"/>
  <c r="BD47" i="2"/>
  <c r="BD215" i="2"/>
  <c r="BD213" i="2"/>
  <c r="BD335" i="2"/>
  <c r="BD210" i="2"/>
  <c r="BD311" i="2"/>
  <c r="BD369" i="2"/>
  <c r="BD696" i="2"/>
  <c r="BD615" i="2"/>
  <c r="BD476" i="2"/>
  <c r="BD686" i="2"/>
  <c r="BD664" i="2"/>
  <c r="BD652" i="2"/>
  <c r="BD700" i="2"/>
  <c r="Z29" i="4"/>
  <c r="AB317" i="2" s="1"/>
  <c r="AC317" i="2" s="1"/>
  <c r="J317" i="3" s="1"/>
  <c r="Z31" i="4"/>
  <c r="AB341" i="2" s="1"/>
  <c r="AC341" i="2" s="1"/>
  <c r="J341" i="3" s="1"/>
  <c r="Z42" i="4"/>
  <c r="AB548" i="2" s="1"/>
  <c r="AC548" i="2" s="1"/>
  <c r="J548" i="3" s="1"/>
  <c r="G681" i="3"/>
  <c r="K681" i="3" s="1"/>
  <c r="G342" i="3"/>
  <c r="K342" i="3" s="1"/>
  <c r="U48" i="1"/>
  <c r="Z48" i="4"/>
  <c r="AB644" i="2" s="1"/>
  <c r="AC644" i="2" s="1"/>
  <c r="J644" i="3" s="1"/>
  <c r="Z24" i="4"/>
  <c r="AB222" i="2" s="1"/>
  <c r="AC222" i="2" s="1"/>
  <c r="J222" i="3" s="1"/>
  <c r="G451" i="3"/>
  <c r="K451" i="3" s="1"/>
  <c r="G289" i="3"/>
  <c r="K289" i="3" s="1"/>
  <c r="G305" i="3"/>
  <c r="K305" i="3" s="1"/>
  <c r="Z35" i="4"/>
  <c r="AB421" i="2" s="1"/>
  <c r="AC421" i="2" s="1"/>
  <c r="J421" i="3" s="1"/>
  <c r="Z32" i="4"/>
  <c r="AB354" i="2" s="1"/>
  <c r="AC354" i="2" s="1"/>
  <c r="J354" i="3" s="1"/>
  <c r="Z27" i="4"/>
  <c r="AB288" i="2" s="1"/>
  <c r="AC288" i="2" s="1"/>
  <c r="J288" i="3" s="1"/>
  <c r="Z16" i="4"/>
  <c r="AB63" i="2" s="1"/>
  <c r="AC63" i="2" s="1"/>
  <c r="J63" i="3" s="1"/>
  <c r="G720" i="3"/>
  <c r="K720" i="3" s="1"/>
  <c r="G268" i="3"/>
  <c r="K268" i="3" s="1"/>
  <c r="Z28" i="4"/>
  <c r="AB304" i="2" s="1"/>
  <c r="AC304" i="2" s="1"/>
  <c r="J304" i="3" s="1"/>
  <c r="G603" i="3"/>
  <c r="K603" i="3" s="1"/>
  <c r="G256" i="3"/>
  <c r="K256" i="3" s="1"/>
  <c r="Z26" i="4"/>
  <c r="AB267" i="2" s="1"/>
  <c r="AC267" i="2" s="1"/>
  <c r="J267" i="3" s="1"/>
  <c r="Z14" i="4"/>
  <c r="AB24" i="2" s="1"/>
  <c r="AC24" i="2" s="1"/>
  <c r="J24" i="3" s="1"/>
  <c r="Z19" i="4"/>
  <c r="AB115" i="2" s="1"/>
  <c r="AC115" i="2" s="1"/>
  <c r="J115" i="3" s="1"/>
  <c r="Z49" i="4"/>
  <c r="AB662" i="2" s="1"/>
  <c r="AC662" i="2" s="1"/>
  <c r="J662" i="3" s="1"/>
  <c r="Z22" i="4"/>
  <c r="AB190" i="2" s="1"/>
  <c r="AC190" i="2" s="1"/>
  <c r="J190" i="3" s="1"/>
  <c r="Z13" i="4"/>
  <c r="AB15" i="2" s="1"/>
  <c r="Z40" i="4"/>
  <c r="AB513" i="2" s="1"/>
  <c r="AC513" i="2" s="1"/>
  <c r="J513" i="3" s="1"/>
  <c r="G64" i="3"/>
  <c r="K64" i="3" s="1"/>
  <c r="Z51" i="4"/>
  <c r="AB706" i="2" s="1"/>
  <c r="AC706" i="2" s="1"/>
  <c r="J706" i="3" s="1"/>
  <c r="Z50" i="4"/>
  <c r="AB680" i="2" s="1"/>
  <c r="AC680" i="2" s="1"/>
  <c r="J680" i="3" s="1"/>
  <c r="G590" i="3"/>
  <c r="K590" i="3" s="1"/>
  <c r="G318" i="3"/>
  <c r="K318" i="3" s="1"/>
  <c r="G165" i="3"/>
  <c r="K165" i="3" s="1"/>
  <c r="Z23" i="4"/>
  <c r="AB207" i="2" s="1"/>
  <c r="AC207" i="2" s="1"/>
  <c r="J207" i="3" s="1"/>
  <c r="Z37" i="4"/>
  <c r="AB450" i="2" s="1"/>
  <c r="AC450" i="2" s="1"/>
  <c r="J450" i="3" s="1"/>
  <c r="G631" i="3"/>
  <c r="K631" i="3" s="1"/>
  <c r="G474" i="3"/>
  <c r="K474" i="3" s="1"/>
  <c r="Z45" i="4"/>
  <c r="AB602" i="2" s="1"/>
  <c r="AC602" i="2" s="1"/>
  <c r="J602" i="3" s="1"/>
  <c r="Z41" i="4"/>
  <c r="AB530" i="2" s="1"/>
  <c r="AC530" i="2" s="1"/>
  <c r="J530" i="3" s="1"/>
  <c r="Z20" i="4"/>
  <c r="AB151" i="2" s="1"/>
  <c r="AC151" i="2" s="1"/>
  <c r="J151" i="3" s="1"/>
  <c r="G208" i="3"/>
  <c r="K208" i="3" s="1"/>
  <c r="Z21" i="4"/>
  <c r="AB164" i="2" s="1"/>
  <c r="AC164" i="2" s="1"/>
  <c r="J164" i="3" s="1"/>
  <c r="AJ716" i="2"/>
  <c r="AJ751" i="2"/>
  <c r="AJ735" i="2"/>
  <c r="AJ704" i="2"/>
  <c r="Z17" i="4"/>
  <c r="AB72" i="2" s="1"/>
  <c r="AC72" i="2" s="1"/>
  <c r="J72" i="3" s="1"/>
  <c r="Z36" i="4"/>
  <c r="AB440" i="2" s="1"/>
  <c r="AC440" i="2" s="1"/>
  <c r="J440" i="3" s="1"/>
  <c r="G514" i="3"/>
  <c r="K514" i="3" s="1"/>
  <c r="G531" i="3"/>
  <c r="K531" i="3" s="1"/>
  <c r="G565" i="3"/>
  <c r="K565" i="3" s="1"/>
  <c r="Z43" i="4"/>
  <c r="AB564" i="2" s="1"/>
  <c r="AC564" i="2" s="1"/>
  <c r="J564" i="3" s="1"/>
  <c r="Z38" i="4"/>
  <c r="AB473" i="2" s="1"/>
  <c r="AC473" i="2" s="1"/>
  <c r="J473" i="3" s="1"/>
  <c r="Z15" i="4"/>
  <c r="AB43" i="2" s="1"/>
  <c r="AC43" i="2" s="1"/>
  <c r="J43" i="3" s="1"/>
  <c r="G761" i="3"/>
  <c r="K761" i="3" s="1"/>
  <c r="G73" i="3"/>
  <c r="K73" i="3" s="1"/>
  <c r="Z52" i="4"/>
  <c r="AB719" i="2" s="1"/>
  <c r="AC719" i="2" s="1"/>
  <c r="J719" i="3" s="1"/>
  <c r="Z34" i="4"/>
  <c r="AB397" i="2" s="1"/>
  <c r="AC397" i="2" s="1"/>
  <c r="J397" i="3" s="1"/>
  <c r="G663" i="3"/>
  <c r="K663" i="3" s="1"/>
  <c r="G330" i="3"/>
  <c r="K330" i="3" s="1"/>
  <c r="G25" i="3"/>
  <c r="K25" i="3" s="1"/>
  <c r="G44" i="3"/>
  <c r="K44" i="3" s="1"/>
  <c r="Z47" i="4"/>
  <c r="AB630" i="2" s="1"/>
  <c r="AC630" i="2" s="1"/>
  <c r="J630" i="3" s="1"/>
  <c r="Z33" i="4"/>
  <c r="AB376" i="2" s="1"/>
  <c r="AC376" i="2" s="1"/>
  <c r="J376" i="3" s="1"/>
  <c r="Z30" i="4"/>
  <c r="AB329" i="2" s="1"/>
  <c r="AC329" i="2" s="1"/>
  <c r="J329" i="3" s="1"/>
  <c r="Z18" i="4"/>
  <c r="AB90" i="2" s="1"/>
  <c r="AC90" i="2" s="1"/>
  <c r="J90" i="3" s="1"/>
  <c r="G355" i="3"/>
  <c r="K355" i="3" s="1"/>
  <c r="G223" i="3"/>
  <c r="K223" i="3" s="1"/>
  <c r="BD56" i="2"/>
  <c r="BD30" i="2"/>
  <c r="BD183" i="2"/>
  <c r="BD140" i="2"/>
  <c r="BD31" i="2"/>
  <c r="BD69" i="2"/>
  <c r="BD173" i="2"/>
  <c r="BD37" i="2"/>
  <c r="BD136" i="2"/>
  <c r="BD45" i="2"/>
  <c r="BD61" i="2"/>
  <c r="BD230" i="2"/>
  <c r="BD107" i="2"/>
  <c r="BD162" i="2"/>
  <c r="BD356" i="2"/>
  <c r="BD76" i="2"/>
  <c r="BD119" i="2"/>
  <c r="BD135" i="2"/>
  <c r="BD166" i="2"/>
  <c r="BD182" i="2"/>
  <c r="BD211" i="2"/>
  <c r="BD98" i="2"/>
  <c r="BD153" i="2"/>
  <c r="BD205" i="2"/>
  <c r="BD347" i="2"/>
  <c r="BD370" i="2"/>
  <c r="BD483" i="2"/>
  <c r="BD231" i="2"/>
  <c r="BD246" i="2"/>
  <c r="BD374" i="2"/>
  <c r="BD212" i="2"/>
  <c r="BD310" i="2"/>
  <c r="BD361" i="2"/>
  <c r="BD243" i="2"/>
  <c r="BD274" i="2"/>
  <c r="BD309" i="2"/>
  <c r="BD357" i="2"/>
  <c r="BD528" i="2"/>
  <c r="BD294" i="2"/>
  <c r="BD325" i="2"/>
  <c r="BD386" i="2"/>
  <c r="BD551" i="2"/>
  <c r="BD569" i="2"/>
  <c r="BD406" i="2"/>
  <c r="BD429" i="2"/>
  <c r="BD489" i="2"/>
  <c r="BD555" i="2"/>
  <c r="BD379" i="2"/>
  <c r="BD395" i="2"/>
  <c r="BD438" i="2"/>
  <c r="BD477" i="2"/>
  <c r="BD452" i="2"/>
  <c r="BD468" i="2"/>
  <c r="BD536" i="2"/>
  <c r="BD593" i="2"/>
  <c r="BD591" i="2"/>
  <c r="BD447" i="2"/>
  <c r="BD490" i="2"/>
  <c r="BD519" i="2"/>
  <c r="BD556" i="2"/>
  <c r="BD698" i="2"/>
  <c r="BD684" i="2"/>
  <c r="BD461" i="2"/>
  <c r="BD508" i="2"/>
  <c r="BD545" i="2"/>
  <c r="BD628" i="2"/>
  <c r="BD658" i="2"/>
  <c r="BD771" i="2"/>
  <c r="BD584" i="2"/>
  <c r="BD683" i="2"/>
  <c r="BD665" i="2"/>
  <c r="BD625" i="2"/>
  <c r="BD676" i="2"/>
  <c r="BD728" i="2"/>
  <c r="BD769" i="2"/>
  <c r="BD738" i="2"/>
  <c r="BD717" i="2"/>
  <c r="BD702" i="2"/>
  <c r="BD733" i="2"/>
  <c r="R19" i="4"/>
  <c r="Z115" i="2" s="1"/>
  <c r="AA115" i="2" s="1"/>
  <c r="I115" i="3" s="1"/>
  <c r="R28" i="4"/>
  <c r="Z304" i="2" s="1"/>
  <c r="AA304" i="2" s="1"/>
  <c r="I304" i="3" s="1"/>
  <c r="R50" i="4"/>
  <c r="Z680" i="2" s="1"/>
  <c r="AA680" i="2" s="1"/>
  <c r="I680" i="3" s="1"/>
  <c r="R38" i="4"/>
  <c r="Z473" i="2" s="1"/>
  <c r="AA473" i="2" s="1"/>
  <c r="I473" i="3" s="1"/>
  <c r="R18" i="4"/>
  <c r="Z90" i="2" s="1"/>
  <c r="AA90" i="2" s="1"/>
  <c r="I90" i="3" s="1"/>
  <c r="AQ11" i="2"/>
  <c r="AR475" i="2" s="1"/>
  <c r="G707" i="3"/>
  <c r="K707" i="3" s="1"/>
  <c r="G422" i="3"/>
  <c r="K422" i="3" s="1"/>
  <c r="G191" i="3"/>
  <c r="K191" i="3" s="1"/>
  <c r="G116" i="3"/>
  <c r="K116" i="3" s="1"/>
  <c r="M29" i="2"/>
  <c r="M32" i="2"/>
  <c r="M27" i="2"/>
  <c r="M38" i="2"/>
  <c r="M21" i="2"/>
  <c r="M48" i="2"/>
  <c r="M79" i="2"/>
  <c r="M39" i="2"/>
  <c r="M105" i="2"/>
  <c r="M81" i="2"/>
  <c r="M51" i="2"/>
  <c r="M87" i="2"/>
  <c r="M347" i="2"/>
  <c r="M117" i="2"/>
  <c r="M133" i="2"/>
  <c r="M149" i="2"/>
  <c r="M180" i="2"/>
  <c r="M258" i="2"/>
  <c r="M96" i="2"/>
  <c r="M112" i="2"/>
  <c r="M196" i="2"/>
  <c r="M295" i="2"/>
  <c r="M177" i="2"/>
  <c r="M228" i="2"/>
  <c r="M349" i="2"/>
  <c r="M229" i="2"/>
  <c r="M343" i="2"/>
  <c r="M214" i="2"/>
  <c r="M345" i="2"/>
  <c r="M237" i="2"/>
  <c r="M253" i="2"/>
  <c r="M284" i="2"/>
  <c r="M334" i="2"/>
  <c r="M425" i="2"/>
  <c r="M429" i="2"/>
  <c r="M352" i="2"/>
  <c r="M437" i="2"/>
  <c r="M246" i="2"/>
  <c r="M277" i="2"/>
  <c r="M312" i="2"/>
  <c r="M358" i="2"/>
  <c r="M462" i="2"/>
  <c r="M390" i="2"/>
  <c r="M384" i="2"/>
  <c r="M455" i="2"/>
  <c r="M524" i="2"/>
  <c r="M500" i="2"/>
  <c r="M544" i="2"/>
  <c r="M381" i="2"/>
  <c r="M424" i="2"/>
  <c r="M452" i="2"/>
  <c r="M546" i="2"/>
  <c r="M551" i="2"/>
  <c r="M368" i="2"/>
  <c r="M407" i="2"/>
  <c r="M444" i="2"/>
  <c r="M496" i="2"/>
  <c r="M587" i="2"/>
  <c r="M703" i="2"/>
  <c r="M471" i="2"/>
  <c r="M539" i="2"/>
  <c r="M583" i="2"/>
  <c r="M591" i="2"/>
  <c r="M618" i="2"/>
  <c r="M582" i="2"/>
  <c r="M651" i="2"/>
  <c r="M600" i="2"/>
  <c r="M669" i="2"/>
  <c r="M666" i="2"/>
  <c r="M670" i="2"/>
  <c r="M689" i="2"/>
  <c r="M769" i="2"/>
  <c r="M690" i="2"/>
  <c r="M722" i="2"/>
  <c r="M738" i="2"/>
  <c r="M754" i="2"/>
  <c r="M762" i="2"/>
  <c r="M721" i="2"/>
  <c r="M737" i="2"/>
  <c r="M753" i="2"/>
  <c r="M103" i="2"/>
  <c r="M481" i="2"/>
  <c r="G16" i="3"/>
  <c r="K16" i="3" s="1"/>
  <c r="M19" i="2"/>
  <c r="M50" i="2"/>
  <c r="M156" i="2"/>
  <c r="M41" i="2"/>
  <c r="M109" i="2"/>
  <c r="M118" i="2"/>
  <c r="M53" i="2"/>
  <c r="M132" i="2"/>
  <c r="M211" i="2"/>
  <c r="M119" i="2"/>
  <c r="M135" i="2"/>
  <c r="M166" i="2"/>
  <c r="M182" i="2"/>
  <c r="M203" i="2"/>
  <c r="M98" i="2"/>
  <c r="M153" i="2"/>
  <c r="M198" i="2"/>
  <c r="M320" i="2"/>
  <c r="M179" i="2"/>
  <c r="M264" i="2"/>
  <c r="M406" i="2"/>
  <c r="M231" i="2"/>
  <c r="M351" i="2"/>
  <c r="M216" i="2"/>
  <c r="M404" i="2"/>
  <c r="M239" i="2"/>
  <c r="M270" i="2"/>
  <c r="M286" i="2"/>
  <c r="M336" i="2"/>
  <c r="M453" i="2"/>
  <c r="M443" i="2"/>
  <c r="M367" i="2"/>
  <c r="M494" i="2"/>
  <c r="M248" i="2"/>
  <c r="M279" i="2"/>
  <c r="M314" i="2"/>
  <c r="M361" i="2"/>
  <c r="M464" i="2"/>
  <c r="M400" i="2"/>
  <c r="M402" i="2"/>
  <c r="M521" i="2"/>
  <c r="M468" i="2"/>
  <c r="M542" i="2"/>
  <c r="M550" i="2"/>
  <c r="M383" i="2"/>
  <c r="M426" i="2"/>
  <c r="M456" i="2"/>
  <c r="M458" i="2"/>
  <c r="M556" i="2"/>
  <c r="M370" i="2"/>
  <c r="M409" i="2"/>
  <c r="M446" i="2"/>
  <c r="M499" i="2"/>
  <c r="M701" i="2"/>
  <c r="M457" i="2"/>
  <c r="M504" i="2"/>
  <c r="M541" i="2"/>
  <c r="M623" i="2"/>
  <c r="M593" i="2"/>
  <c r="M620" i="2"/>
  <c r="M584" i="2"/>
  <c r="M654" i="2"/>
  <c r="M613" i="2"/>
  <c r="M675" i="2"/>
  <c r="M674" i="2"/>
  <c r="M678" i="2"/>
  <c r="M691" i="2"/>
  <c r="M714" i="2"/>
  <c r="M692" i="2"/>
  <c r="M724" i="2"/>
  <c r="M740" i="2"/>
  <c r="M756" i="2"/>
  <c r="M764" i="2"/>
  <c r="M723" i="2"/>
  <c r="M755" i="2"/>
  <c r="G91" i="3"/>
  <c r="K91" i="3" s="1"/>
  <c r="G645" i="3"/>
  <c r="K645" i="3" s="1"/>
  <c r="G398" i="3"/>
  <c r="K398" i="3" s="1"/>
  <c r="M83" i="2"/>
  <c r="M224" i="2"/>
  <c r="I31" i="1"/>
  <c r="I29" i="1" s="1"/>
  <c r="N737" i="2" s="1"/>
  <c r="M95" i="2"/>
  <c r="M17" i="2"/>
  <c r="M52" i="2"/>
  <c r="M193" i="2"/>
  <c r="M66" i="2"/>
  <c r="M113" i="2"/>
  <c r="M124" i="2"/>
  <c r="M55" i="2"/>
  <c r="M138" i="2"/>
  <c r="M78" i="2"/>
  <c r="M121" i="2"/>
  <c r="M137" i="2"/>
  <c r="M168" i="2"/>
  <c r="M184" i="2"/>
  <c r="M363" i="2"/>
  <c r="M100" i="2"/>
  <c r="M155" i="2"/>
  <c r="M201" i="2"/>
  <c r="M327" i="2"/>
  <c r="M181" i="2"/>
  <c r="M319" i="2"/>
  <c r="M540" i="2"/>
  <c r="M233" i="2"/>
  <c r="M262" i="2"/>
  <c r="M218" i="2"/>
  <c r="M260" i="2"/>
  <c r="M241" i="2"/>
  <c r="M272" i="2"/>
  <c r="M307" i="2"/>
  <c r="M338" i="2"/>
  <c r="M454" i="2"/>
  <c r="M448" i="2"/>
  <c r="M433" i="2"/>
  <c r="M580" i="2"/>
  <c r="M250" i="2"/>
  <c r="M281" i="2"/>
  <c r="M331" i="2"/>
  <c r="M388" i="2"/>
  <c r="M470" i="2"/>
  <c r="M408" i="2"/>
  <c r="M410" i="2"/>
  <c r="M536" i="2"/>
  <c r="M476" i="2"/>
  <c r="M569" i="2"/>
  <c r="M553" i="2"/>
  <c r="M385" i="2"/>
  <c r="M428" i="2"/>
  <c r="M477" i="2"/>
  <c r="M505" i="2"/>
  <c r="M559" i="2"/>
  <c r="M372" i="2"/>
  <c r="M411" i="2"/>
  <c r="M460" i="2"/>
  <c r="M507" i="2"/>
  <c r="M712" i="2"/>
  <c r="M459" i="2"/>
  <c r="M506" i="2"/>
  <c r="M543" i="2"/>
  <c r="M571" i="2"/>
  <c r="M595" i="2"/>
  <c r="M652" i="2"/>
  <c r="M586" i="2"/>
  <c r="M665" i="2"/>
  <c r="M615" i="2"/>
  <c r="M632" i="2"/>
  <c r="M671" i="2"/>
  <c r="M656" i="2"/>
  <c r="M693" i="2"/>
  <c r="M657" i="2"/>
  <c r="M694" i="2"/>
  <c r="M726" i="2"/>
  <c r="M742" i="2"/>
  <c r="M758" i="2"/>
  <c r="M766" i="2"/>
  <c r="M725" i="2"/>
  <c r="M741" i="2"/>
  <c r="M757" i="2"/>
  <c r="M28" i="2"/>
  <c r="AY11" i="2"/>
  <c r="R32" i="4"/>
  <c r="Z354" i="2" s="1"/>
  <c r="AA354" i="2" s="1"/>
  <c r="I354" i="3" s="1"/>
  <c r="R14" i="4"/>
  <c r="Z24" i="2" s="1"/>
  <c r="AA24" i="2" s="1"/>
  <c r="I24" i="3" s="1"/>
  <c r="R48" i="4"/>
  <c r="Z644" i="2" s="1"/>
  <c r="AA644" i="2" s="1"/>
  <c r="I644" i="3" s="1"/>
  <c r="R34" i="4"/>
  <c r="Z397" i="2" s="1"/>
  <c r="AA397" i="2" s="1"/>
  <c r="I397" i="3" s="1"/>
  <c r="R20" i="4"/>
  <c r="Z151" i="2" s="1"/>
  <c r="AA151" i="2" s="1"/>
  <c r="I151" i="3" s="1"/>
  <c r="R16" i="4"/>
  <c r="Z63" i="2" s="1"/>
  <c r="AA63" i="2" s="1"/>
  <c r="I63" i="3" s="1"/>
  <c r="R51" i="4"/>
  <c r="Z706" i="2" s="1"/>
  <c r="AA706" i="2" s="1"/>
  <c r="I706" i="3" s="1"/>
  <c r="AW11" i="2"/>
  <c r="I48" i="1"/>
  <c r="I62" i="1"/>
  <c r="R35" i="4"/>
  <c r="Z421" i="2" s="1"/>
  <c r="AA421" i="2" s="1"/>
  <c r="I421" i="3" s="1"/>
  <c r="R37" i="4"/>
  <c r="Z450" i="2" s="1"/>
  <c r="AA450" i="2" s="1"/>
  <c r="I450" i="3" s="1"/>
  <c r="R33" i="4"/>
  <c r="Z376" i="2" s="1"/>
  <c r="AA376" i="2" s="1"/>
  <c r="I376" i="3" s="1"/>
  <c r="R45" i="4"/>
  <c r="Z602" i="2" s="1"/>
  <c r="AA602" i="2" s="1"/>
  <c r="I602" i="3" s="1"/>
  <c r="R41" i="4"/>
  <c r="Z530" i="2" s="1"/>
  <c r="AA530" i="2" s="1"/>
  <c r="I530" i="3" s="1"/>
  <c r="R49" i="4"/>
  <c r="Z662" i="2" s="1"/>
  <c r="AA662" i="2" s="1"/>
  <c r="I662" i="3" s="1"/>
  <c r="R15" i="4"/>
  <c r="Z43" i="2" s="1"/>
  <c r="AA43" i="2" s="1"/>
  <c r="I43" i="3" s="1"/>
  <c r="R31" i="4"/>
  <c r="Z341" i="2" s="1"/>
  <c r="AA341" i="2" s="1"/>
  <c r="I341" i="3" s="1"/>
  <c r="R44" i="4"/>
  <c r="Z589" i="2" s="1"/>
  <c r="AA589" i="2" s="1"/>
  <c r="I589" i="3" s="1"/>
  <c r="R47" i="4"/>
  <c r="Z630" i="2" s="1"/>
  <c r="AA630" i="2" s="1"/>
  <c r="I630" i="3" s="1"/>
  <c r="R39" i="4"/>
  <c r="Z502" i="2" s="1"/>
  <c r="AA502" i="2" s="1"/>
  <c r="I502" i="3" s="1"/>
  <c r="R29" i="4"/>
  <c r="Z317" i="2" s="1"/>
  <c r="AA317" i="2" s="1"/>
  <c r="I317" i="3" s="1"/>
  <c r="R23" i="4"/>
  <c r="Z207" i="2" s="1"/>
  <c r="AA207" i="2" s="1"/>
  <c r="I207" i="3" s="1"/>
  <c r="R27" i="4"/>
  <c r="Z288" i="2" s="1"/>
  <c r="AA288" i="2" s="1"/>
  <c r="I288" i="3" s="1"/>
  <c r="R25" i="4"/>
  <c r="Z255" i="2" s="1"/>
  <c r="AA255" i="2" s="1"/>
  <c r="I255" i="3" s="1"/>
  <c r="R53" i="4"/>
  <c r="Z760" i="2" s="1"/>
  <c r="AA760" i="2" s="1"/>
  <c r="I760" i="3" s="1"/>
  <c r="R36" i="4"/>
  <c r="Z440" i="2" s="1"/>
  <c r="AA440" i="2" s="1"/>
  <c r="I440" i="3" s="1"/>
  <c r="R43" i="4"/>
  <c r="Z564" i="2" s="1"/>
  <c r="AA564" i="2" s="1"/>
  <c r="I564" i="3" s="1"/>
  <c r="R17" i="4"/>
  <c r="Z72" i="2" s="1"/>
  <c r="AA72" i="2" s="1"/>
  <c r="I72" i="3" s="1"/>
  <c r="R13" i="4"/>
  <c r="R21" i="4"/>
  <c r="Z164" i="2" s="1"/>
  <c r="AA164" i="2" s="1"/>
  <c r="I164" i="3" s="1"/>
  <c r="R40" i="4"/>
  <c r="Z513" i="2" s="1"/>
  <c r="AA513" i="2" s="1"/>
  <c r="I513" i="3" s="1"/>
  <c r="R26" i="4"/>
  <c r="Z267" i="2" s="1"/>
  <c r="AA267" i="2" s="1"/>
  <c r="I267" i="3" s="1"/>
  <c r="R46" i="4"/>
  <c r="Z610" i="2" s="1"/>
  <c r="AA610" i="2" s="1"/>
  <c r="I610" i="3" s="1"/>
  <c r="R22" i="4"/>
  <c r="Z190" i="2" s="1"/>
  <c r="AA190" i="2" s="1"/>
  <c r="I190" i="3" s="1"/>
  <c r="R24" i="4"/>
  <c r="Z222" i="2" s="1"/>
  <c r="AA222" i="2" s="1"/>
  <c r="I222" i="3" s="1"/>
  <c r="R42" i="4"/>
  <c r="Z548" i="2" s="1"/>
  <c r="AA548" i="2" s="1"/>
  <c r="I548" i="3" s="1"/>
  <c r="K503" i="3"/>
  <c r="K10" i="4"/>
  <c r="L37" i="4" s="1"/>
  <c r="X450" i="2" s="1"/>
  <c r="Y450" i="2" s="1"/>
  <c r="H450" i="3" s="1"/>
  <c r="N363" i="2" l="1"/>
  <c r="N592" i="2"/>
  <c r="N331" i="2"/>
  <c r="N717" i="2"/>
  <c r="N683" i="2"/>
  <c r="N764" i="2"/>
  <c r="N285" i="2"/>
  <c r="N656" i="2"/>
  <c r="N359" i="2"/>
  <c r="N59" i="2"/>
  <c r="N540" i="2"/>
  <c r="N39" i="2"/>
  <c r="N391" i="2"/>
  <c r="N87" i="2"/>
  <c r="N594" i="2"/>
  <c r="N127" i="2"/>
  <c r="N257" i="2"/>
  <c r="N612" i="2"/>
  <c r="N185" i="2"/>
  <c r="N324" i="2"/>
  <c r="N425" i="2"/>
  <c r="N615" i="2"/>
  <c r="N54" i="2"/>
  <c r="N102" i="2"/>
  <c r="N604" i="2"/>
  <c r="N700" i="2"/>
  <c r="N128" i="2"/>
  <c r="N264" i="2"/>
  <c r="N697" i="2"/>
  <c r="N696" i="2"/>
  <c r="AR286" i="2"/>
  <c r="AR294" i="2"/>
  <c r="N226" i="2"/>
  <c r="N66" i="2"/>
  <c r="N113" i="2"/>
  <c r="N149" i="2"/>
  <c r="N153" i="2"/>
  <c r="N291" i="2"/>
  <c r="N251" i="2"/>
  <c r="N292" i="2"/>
  <c r="N402" i="2"/>
  <c r="N551" i="2"/>
  <c r="N638" i="2"/>
  <c r="N463" i="2"/>
  <c r="N605" i="2"/>
  <c r="N685" i="2"/>
  <c r="N757" i="2"/>
  <c r="N129" i="2"/>
  <c r="N622" i="2"/>
  <c r="N41" i="2"/>
  <c r="N112" i="2"/>
  <c r="N261" i="2"/>
  <c r="N430" i="2"/>
  <c r="N461" i="2"/>
  <c r="N684" i="2"/>
  <c r="N177" i="2"/>
  <c r="N211" i="2"/>
  <c r="N246" i="2"/>
  <c r="N274" i="2"/>
  <c r="N613" i="2"/>
  <c r="N517" i="2"/>
  <c r="N543" i="2"/>
  <c r="N628" i="2"/>
  <c r="N169" i="2"/>
  <c r="N105" i="2"/>
  <c r="N235" i="2"/>
  <c r="N382" i="2"/>
  <c r="N399" i="2"/>
  <c r="N616" i="2"/>
  <c r="N747" i="2"/>
  <c r="N48" i="2"/>
  <c r="N118" i="2"/>
  <c r="N156" i="2"/>
  <c r="N168" i="2"/>
  <c r="N232" i="2"/>
  <c r="N314" i="2"/>
  <c r="N270" i="2"/>
  <c r="N348" i="2"/>
  <c r="N407" i="2"/>
  <c r="N452" i="2"/>
  <c r="N515" i="2"/>
  <c r="N467" i="2"/>
  <c r="N607" i="2"/>
  <c r="N748" i="2"/>
  <c r="I37" i="1"/>
  <c r="T522" i="2" s="1"/>
  <c r="N124" i="2"/>
  <c r="N176" i="2"/>
  <c r="N279" i="2"/>
  <c r="N350" i="2"/>
  <c r="N454" i="2"/>
  <c r="N713" i="2"/>
  <c r="N26" i="2"/>
  <c r="N224" i="2"/>
  <c r="N228" i="2"/>
  <c r="N248" i="2"/>
  <c r="N242" i="2"/>
  <c r="N260" i="2"/>
  <c r="N281" i="2"/>
  <c r="N357" i="2"/>
  <c r="N352" i="2"/>
  <c r="N577" i="2"/>
  <c r="N509" i="2"/>
  <c r="N519" i="2"/>
  <c r="N599" i="2"/>
  <c r="N675" i="2"/>
  <c r="N714" i="2"/>
  <c r="AR380" i="2"/>
  <c r="M72" i="2"/>
  <c r="N37" i="2"/>
  <c r="N140" i="2"/>
  <c r="N61" i="2"/>
  <c r="N125" i="2"/>
  <c r="N203" i="2"/>
  <c r="N320" i="2"/>
  <c r="N345" i="2"/>
  <c r="N362" i="2"/>
  <c r="N489" i="2"/>
  <c r="N389" i="2"/>
  <c r="N542" i="2"/>
  <c r="N614" i="2"/>
  <c r="N676" i="2"/>
  <c r="N623" i="2"/>
  <c r="N762" i="2"/>
  <c r="L29" i="4"/>
  <c r="X317" i="2" s="1"/>
  <c r="Y317" i="2" s="1"/>
  <c r="H317" i="3" s="1"/>
  <c r="N30" i="2"/>
  <c r="N85" i="2"/>
  <c r="N95" i="2"/>
  <c r="N82" i="2"/>
  <c r="N180" i="2"/>
  <c r="N157" i="2"/>
  <c r="N240" i="2"/>
  <c r="N351" i="2"/>
  <c r="N212" i="2"/>
  <c r="N408" i="2"/>
  <c r="N286" i="2"/>
  <c r="N412" i="2"/>
  <c r="N300" i="2"/>
  <c r="N378" i="2"/>
  <c r="N374" i="2"/>
  <c r="N435" i="2"/>
  <c r="N522" i="2"/>
  <c r="N434" i="2"/>
  <c r="N468" i="2"/>
  <c r="N567" i="2"/>
  <c r="N484" i="2"/>
  <c r="N527" i="2"/>
  <c r="N632" i="2"/>
  <c r="N510" i="2"/>
  <c r="N641" i="2"/>
  <c r="N765" i="2"/>
  <c r="N639" i="2"/>
  <c r="N648" i="2"/>
  <c r="N724" i="2"/>
  <c r="N730" i="2"/>
  <c r="N721" i="2"/>
  <c r="N34" i="2"/>
  <c r="N38" i="2"/>
  <c r="N68" i="2"/>
  <c r="N132" i="2"/>
  <c r="N158" i="2"/>
  <c r="N178" i="2"/>
  <c r="N155" i="2"/>
  <c r="N390" i="2"/>
  <c r="N361" i="2"/>
  <c r="N282" i="2"/>
  <c r="N296" i="2"/>
  <c r="N369" i="2"/>
  <c r="N431" i="2"/>
  <c r="N432" i="2"/>
  <c r="N544" i="2"/>
  <c r="N482" i="2"/>
  <c r="N617" i="2"/>
  <c r="N471" i="2"/>
  <c r="N674" i="2"/>
  <c r="N627" i="2"/>
  <c r="N686" i="2"/>
  <c r="N704" i="2"/>
  <c r="N75" i="2"/>
  <c r="N77" i="2"/>
  <c r="N27" i="2"/>
  <c r="N65" i="2"/>
  <c r="N122" i="2"/>
  <c r="N358" i="2"/>
  <c r="N47" i="2"/>
  <c r="N97" i="2"/>
  <c r="N162" i="2"/>
  <c r="N84" i="2"/>
  <c r="N143" i="2"/>
  <c r="N184" i="2"/>
  <c r="N96" i="2"/>
  <c r="N159" i="2"/>
  <c r="N295" i="2"/>
  <c r="N225" i="2"/>
  <c r="N368" i="2"/>
  <c r="N216" i="2"/>
  <c r="N409" i="2"/>
  <c r="N309" i="2"/>
  <c r="N417" i="2"/>
  <c r="N302" i="2"/>
  <c r="N403" i="2"/>
  <c r="N386" i="2"/>
  <c r="N499" i="2"/>
  <c r="N383" i="2"/>
  <c r="N438" i="2"/>
  <c r="N470" i="2"/>
  <c r="N573" i="2"/>
  <c r="N486" i="2"/>
  <c r="N556" i="2"/>
  <c r="N640" i="2"/>
  <c r="N535" i="2"/>
  <c r="N647" i="2"/>
  <c r="N572" i="2"/>
  <c r="N665" i="2"/>
  <c r="N650" i="2"/>
  <c r="N728" i="2"/>
  <c r="N734" i="2"/>
  <c r="N725" i="2"/>
  <c r="AR20" i="2"/>
  <c r="BD530" i="2"/>
  <c r="BD190" i="2"/>
  <c r="M602" i="2"/>
  <c r="N22" i="2"/>
  <c r="N131" i="2"/>
  <c r="N56" i="2"/>
  <c r="N40" i="2"/>
  <c r="N70" i="2"/>
  <c r="N45" i="2"/>
  <c r="N160" i="2"/>
  <c r="N133" i="2"/>
  <c r="N92" i="2"/>
  <c r="N692" i="2"/>
  <c r="L35" i="4"/>
  <c r="X421" i="2" s="1"/>
  <c r="Y421" i="2" s="1"/>
  <c r="H421" i="3" s="1"/>
  <c r="N36" i="2"/>
  <c r="N144" i="2"/>
  <c r="N31" i="2"/>
  <c r="N120" i="2"/>
  <c r="N136" i="2"/>
  <c r="N370" i="2"/>
  <c r="N49" i="2"/>
  <c r="N101" i="2"/>
  <c r="N238" i="2"/>
  <c r="N86" i="2"/>
  <c r="N145" i="2"/>
  <c r="N186" i="2"/>
  <c r="N98" i="2"/>
  <c r="N198" i="2"/>
  <c r="N333" i="2"/>
  <c r="N229" i="2"/>
  <c r="N405" i="2"/>
  <c r="N220" i="2"/>
  <c r="N247" i="2"/>
  <c r="N311" i="2"/>
  <c r="N443" i="2"/>
  <c r="N319" i="2"/>
  <c r="N406" i="2"/>
  <c r="N481" i="2"/>
  <c r="N571" i="2"/>
  <c r="N385" i="2"/>
  <c r="N485" i="2"/>
  <c r="N505" i="2"/>
  <c r="N653" i="2"/>
  <c r="N488" i="2"/>
  <c r="N560" i="2"/>
  <c r="N688" i="2"/>
  <c r="N539" i="2"/>
  <c r="N649" i="2"/>
  <c r="N574" i="2"/>
  <c r="N668" i="2"/>
  <c r="N652" i="2"/>
  <c r="N732" i="2"/>
  <c r="N758" i="2"/>
  <c r="N731" i="2"/>
  <c r="AR570" i="2"/>
  <c r="M190" i="2"/>
  <c r="M376" i="2"/>
  <c r="BD662" i="2"/>
  <c r="M255" i="2"/>
  <c r="BD589" i="2"/>
  <c r="BD207" i="2"/>
  <c r="BD341" i="2"/>
  <c r="BD502" i="2"/>
  <c r="BD288" i="2"/>
  <c r="BD376" i="2"/>
  <c r="BD317" i="2"/>
  <c r="M706" i="2"/>
  <c r="N20" i="2"/>
  <c r="N183" i="2"/>
  <c r="N234" i="2"/>
  <c r="N80" i="2"/>
  <c r="N252" i="2"/>
  <c r="N230" i="2"/>
  <c r="N343" i="2"/>
  <c r="N392" i="2"/>
  <c r="N365" i="2"/>
  <c r="N364" i="2"/>
  <c r="N448" i="2"/>
  <c r="N456" i="2"/>
  <c r="N523" i="2"/>
  <c r="N635" i="2"/>
  <c r="N636" i="2"/>
  <c r="N726" i="2"/>
  <c r="AR751" i="2"/>
  <c r="N52" i="2"/>
  <c r="L13" i="4"/>
  <c r="X15" i="2" s="1"/>
  <c r="N60" i="2"/>
  <c r="N21" i="2"/>
  <c r="N50" i="2"/>
  <c r="N134" i="2"/>
  <c r="N148" i="2"/>
  <c r="N81" i="2"/>
  <c r="N57" i="2"/>
  <c r="N103" i="2"/>
  <c r="N620" i="2"/>
  <c r="N88" i="2"/>
  <c r="N147" i="2"/>
  <c r="N236" i="2"/>
  <c r="N100" i="2"/>
  <c r="N201" i="2"/>
  <c r="N337" i="2"/>
  <c r="N233" i="2"/>
  <c r="N277" i="2"/>
  <c r="N297" i="2"/>
  <c r="N249" i="2"/>
  <c r="N313" i="2"/>
  <c r="N483" i="2"/>
  <c r="N346" i="2"/>
  <c r="N414" i="2"/>
  <c r="N384" i="2"/>
  <c r="N516" i="2"/>
  <c r="N387" i="2"/>
  <c r="N520" i="2"/>
  <c r="N507" i="2"/>
  <c r="N695" i="2"/>
  <c r="N490" i="2"/>
  <c r="N587" i="2"/>
  <c r="N459" i="2"/>
  <c r="N541" i="2"/>
  <c r="N673" i="2"/>
  <c r="N576" i="2"/>
  <c r="N767" i="2"/>
  <c r="N682" i="2"/>
  <c r="N740" i="2"/>
  <c r="N715" i="2"/>
  <c r="N735" i="2"/>
  <c r="AR343" i="2"/>
  <c r="M222" i="2"/>
  <c r="BD63" i="2"/>
  <c r="M15" i="2"/>
  <c r="M760" i="2"/>
  <c r="N29" i="2"/>
  <c r="N28" i="2"/>
  <c r="N347" i="2"/>
  <c r="N79" i="2"/>
  <c r="I33" i="1"/>
  <c r="Q286" i="2" s="1"/>
  <c r="N67" i="2"/>
  <c r="N146" i="2"/>
  <c r="N173" i="2"/>
  <c r="N130" i="2"/>
  <c r="N171" i="2"/>
  <c r="N51" i="2"/>
  <c r="N138" i="2"/>
  <c r="N107" i="2"/>
  <c r="N193" i="2"/>
  <c r="N335" i="2"/>
  <c r="N117" i="2"/>
  <c r="N137" i="2"/>
  <c r="N170" i="2"/>
  <c r="N188" i="2"/>
  <c r="N301" i="2"/>
  <c r="N104" i="2"/>
  <c r="N161" i="2"/>
  <c r="N349" i="2"/>
  <c r="N258" i="2"/>
  <c r="N200" i="2"/>
  <c r="N299" i="2"/>
  <c r="N269" i="2"/>
  <c r="N400" i="2"/>
  <c r="N356" i="2"/>
  <c r="N239" i="2"/>
  <c r="N276" i="2"/>
  <c r="N315" i="2"/>
  <c r="N446" i="2"/>
  <c r="N263" i="2"/>
  <c r="N321" i="2"/>
  <c r="N380" i="2"/>
  <c r="N429" i="2"/>
  <c r="N442" i="2"/>
  <c r="N415" i="2"/>
  <c r="N524" i="2"/>
  <c r="N553" i="2"/>
  <c r="N395" i="2"/>
  <c r="N493" i="2"/>
  <c r="N458" i="2"/>
  <c r="N532" i="2"/>
  <c r="N591" i="2"/>
  <c r="N670" i="2"/>
  <c r="N494" i="2"/>
  <c r="N550" i="2"/>
  <c r="N619" i="2"/>
  <c r="N711" i="2"/>
  <c r="N504" i="2"/>
  <c r="N545" i="2"/>
  <c r="N771" i="2"/>
  <c r="N633" i="2"/>
  <c r="N578" i="2"/>
  <c r="N678" i="2"/>
  <c r="N716" i="2"/>
  <c r="N654" i="2"/>
  <c r="N709" i="2"/>
  <c r="N752" i="2"/>
  <c r="N738" i="2"/>
  <c r="N768" i="2"/>
  <c r="BD630" i="2"/>
  <c r="N753" i="2"/>
  <c r="N733" i="2"/>
  <c r="N770" i="2"/>
  <c r="N754" i="2"/>
  <c r="N722" i="2"/>
  <c r="N744" i="2"/>
  <c r="N763" i="2"/>
  <c r="N671" i="2"/>
  <c r="N646" i="2"/>
  <c r="N691" i="2"/>
  <c r="N687" i="2"/>
  <c r="N586" i="2"/>
  <c r="N570" i="2"/>
  <c r="N701" i="2"/>
  <c r="N626" i="2"/>
  <c r="N583" i="2"/>
  <c r="N537" i="2"/>
  <c r="N469" i="2"/>
  <c r="N453" i="2"/>
  <c r="N585" i="2"/>
  <c r="N562" i="2"/>
  <c r="N525" i="2"/>
  <c r="N496" i="2"/>
  <c r="N480" i="2"/>
  <c r="N579" i="2"/>
  <c r="N569" i="2"/>
  <c r="N534" i="2"/>
  <c r="N466" i="2"/>
  <c r="N559" i="2"/>
  <c r="N477" i="2"/>
  <c r="N424" i="2"/>
  <c r="N381" i="2"/>
  <c r="N606" i="2"/>
  <c r="N666" i="2"/>
  <c r="N418" i="2"/>
  <c r="N444" i="2"/>
  <c r="N608" i="2"/>
  <c r="N419" i="2"/>
  <c r="N491" i="2"/>
  <c r="N344" i="2"/>
  <c r="N298" i="2"/>
  <c r="N259" i="2"/>
  <c r="N371" i="2"/>
  <c r="N338" i="2"/>
  <c r="N307" i="2"/>
  <c r="N272" i="2"/>
  <c r="N241" i="2"/>
  <c r="N475" i="2"/>
  <c r="N218" i="2"/>
  <c r="N326" i="2"/>
  <c r="N271" i="2"/>
  <c r="N312" i="2"/>
  <c r="N231" i="2"/>
  <c r="N401" i="2"/>
  <c r="N479" i="2"/>
  <c r="N360" i="2"/>
  <c r="N194" i="2"/>
  <c r="N110" i="2"/>
  <c r="N94" i="2"/>
  <c r="N293" i="2"/>
  <c r="N182" i="2"/>
  <c r="N166" i="2"/>
  <c r="N135" i="2"/>
  <c r="N119" i="2"/>
  <c r="N76" i="2"/>
  <c r="N213" i="2"/>
  <c r="N154" i="2"/>
  <c r="N99" i="2"/>
  <c r="N74" i="2"/>
  <c r="N751" i="2"/>
  <c r="N749" i="2"/>
  <c r="N729" i="2"/>
  <c r="N766" i="2"/>
  <c r="N746" i="2"/>
  <c r="N769" i="2"/>
  <c r="N736" i="2"/>
  <c r="N699" i="2"/>
  <c r="N672" i="2"/>
  <c r="N625" i="2"/>
  <c r="N667" i="2"/>
  <c r="N651" i="2"/>
  <c r="N582" i="2"/>
  <c r="N693" i="2"/>
  <c r="N690" i="2"/>
  <c r="N698" i="2"/>
  <c r="N568" i="2"/>
  <c r="N533" i="2"/>
  <c r="N465" i="2"/>
  <c r="N689" i="2"/>
  <c r="N669" i="2"/>
  <c r="N558" i="2"/>
  <c r="N521" i="2"/>
  <c r="N492" i="2"/>
  <c r="N476" i="2"/>
  <c r="N655" i="2"/>
  <c r="N546" i="2"/>
  <c r="N511" i="2"/>
  <c r="N462" i="2"/>
  <c r="N528" i="2"/>
  <c r="N436" i="2"/>
  <c r="N393" i="2"/>
  <c r="N593" i="2"/>
  <c r="N677" i="2"/>
  <c r="N557" i="2"/>
  <c r="N410" i="2"/>
  <c r="N518" i="2"/>
  <c r="N597" i="2"/>
  <c r="N411" i="2"/>
  <c r="N367" i="2"/>
  <c r="N325" i="2"/>
  <c r="N294" i="2"/>
  <c r="N495" i="2"/>
  <c r="N413" i="2"/>
  <c r="N334" i="2"/>
  <c r="N284" i="2"/>
  <c r="N253" i="2"/>
  <c r="N237" i="2"/>
  <c r="N388" i="2"/>
  <c r="N214" i="2"/>
  <c r="N283" i="2"/>
  <c r="N262" i="2"/>
  <c r="N308" i="2"/>
  <c r="N227" i="2"/>
  <c r="N18" i="2"/>
  <c r="N32" i="2"/>
  <c r="N17" i="2"/>
  <c r="N126" i="2"/>
  <c r="N33" i="2"/>
  <c r="N69" i="2"/>
  <c r="N167" i="2"/>
  <c r="N181" i="2"/>
  <c r="N142" i="2"/>
  <c r="N179" i="2"/>
  <c r="N53" i="2"/>
  <c r="N217" i="2"/>
  <c r="N109" i="2"/>
  <c r="N195" i="2"/>
  <c r="N339" i="2"/>
  <c r="N121" i="2"/>
  <c r="N139" i="2"/>
  <c r="N172" i="2"/>
  <c r="N205" i="2"/>
  <c r="N487" i="2"/>
  <c r="N106" i="2"/>
  <c r="N192" i="2"/>
  <c r="N199" i="2"/>
  <c r="N322" i="2"/>
  <c r="N202" i="2"/>
  <c r="N306" i="2"/>
  <c r="N273" i="2"/>
  <c r="N526" i="2"/>
  <c r="N366" i="2"/>
  <c r="N243" i="2"/>
  <c r="N278" i="2"/>
  <c r="N332" i="2"/>
  <c r="N373" i="2"/>
  <c r="N265" i="2"/>
  <c r="N323" i="2"/>
  <c r="N497" i="2"/>
  <c r="N433" i="2"/>
  <c r="N445" i="2"/>
  <c r="N423" i="2"/>
  <c r="N555" i="2"/>
  <c r="N561" i="2"/>
  <c r="N426" i="2"/>
  <c r="N600" i="2"/>
  <c r="N460" i="2"/>
  <c r="N536" i="2"/>
  <c r="N596" i="2"/>
  <c r="N447" i="2"/>
  <c r="N498" i="2"/>
  <c r="N552" i="2"/>
  <c r="N624" i="2"/>
  <c r="N455" i="2"/>
  <c r="N506" i="2"/>
  <c r="N566" i="2"/>
  <c r="N634" i="2"/>
  <c r="N657" i="2"/>
  <c r="N580" i="2"/>
  <c r="N694" i="2"/>
  <c r="N773" i="2"/>
  <c r="N664" i="2"/>
  <c r="N703" i="2"/>
  <c r="N756" i="2"/>
  <c r="N742" i="2"/>
  <c r="N772" i="2"/>
  <c r="N741" i="2"/>
  <c r="BD610" i="2"/>
  <c r="BD15" i="2"/>
  <c r="L43" i="4"/>
  <c r="X564" i="2" s="1"/>
  <c r="Y564" i="2" s="1"/>
  <c r="H564" i="3" s="1"/>
  <c r="N46" i="2"/>
  <c r="N58" i="2"/>
  <c r="N19" i="2"/>
  <c r="N250" i="2"/>
  <c r="N35" i="2"/>
  <c r="N83" i="2"/>
  <c r="N175" i="2"/>
  <c r="N244" i="2"/>
  <c r="N215" i="2"/>
  <c r="N187" i="2"/>
  <c r="N55" i="2"/>
  <c r="N93" i="2"/>
  <c r="N111" i="2"/>
  <c r="N197" i="2"/>
  <c r="N78" i="2"/>
  <c r="N123" i="2"/>
  <c r="N141" i="2"/>
  <c r="N174" i="2"/>
  <c r="N209" i="2"/>
  <c r="N660" i="2"/>
  <c r="N108" i="2"/>
  <c r="N196" i="2"/>
  <c r="N219" i="2"/>
  <c r="N372" i="2"/>
  <c r="N204" i="2"/>
  <c r="N310" i="2"/>
  <c r="N275" i="2"/>
  <c r="N210" i="2"/>
  <c r="N404" i="2"/>
  <c r="N245" i="2"/>
  <c r="N280" i="2"/>
  <c r="N336" i="2"/>
  <c r="N416" i="2"/>
  <c r="N290" i="2"/>
  <c r="N327" i="2"/>
  <c r="N598" i="2"/>
  <c r="N437" i="2"/>
  <c r="N394" i="2"/>
  <c r="N427" i="2"/>
  <c r="N595" i="2"/>
  <c r="N379" i="2"/>
  <c r="N428" i="2"/>
  <c r="N658" i="2"/>
  <c r="N464" i="2"/>
  <c r="N538" i="2"/>
  <c r="N618" i="2"/>
  <c r="N478" i="2"/>
  <c r="N500" i="2"/>
  <c r="N554" i="2"/>
  <c r="N575" i="2"/>
  <c r="N457" i="2"/>
  <c r="N508" i="2"/>
  <c r="N581" i="2"/>
  <c r="N637" i="2"/>
  <c r="N659" i="2"/>
  <c r="N584" i="2"/>
  <c r="N642" i="2"/>
  <c r="N621" i="2"/>
  <c r="N708" i="2"/>
  <c r="N712" i="2"/>
  <c r="N710" i="2"/>
  <c r="N750" i="2"/>
  <c r="N702" i="2"/>
  <c r="N745" i="2"/>
  <c r="BD354" i="2"/>
  <c r="M341" i="2"/>
  <c r="BD548" i="2"/>
  <c r="BD450" i="2"/>
  <c r="BD397" i="2"/>
  <c r="BD304" i="2"/>
  <c r="BD151" i="2"/>
  <c r="BD255" i="2"/>
  <c r="BD329" i="2"/>
  <c r="M288" i="2"/>
  <c r="BD440" i="2"/>
  <c r="M548" i="2"/>
  <c r="M304" i="2"/>
  <c r="M317" i="2"/>
  <c r="M63" i="2"/>
  <c r="M610" i="2"/>
  <c r="M397" i="2"/>
  <c r="M440" i="2"/>
  <c r="M473" i="2"/>
  <c r="BD644" i="2"/>
  <c r="BD164" i="2"/>
  <c r="BD43" i="2"/>
  <c r="BD602" i="2"/>
  <c r="BD760" i="2"/>
  <c r="BD72" i="2"/>
  <c r="M513" i="2"/>
  <c r="M630" i="2"/>
  <c r="AR113" i="2"/>
  <c r="AR128" i="2"/>
  <c r="BD222" i="2"/>
  <c r="BD473" i="2"/>
  <c r="L47" i="4"/>
  <c r="X630" i="2" s="1"/>
  <c r="Y630" i="2" s="1"/>
  <c r="H630" i="3" s="1"/>
  <c r="L44" i="4"/>
  <c r="X589" i="2" s="1"/>
  <c r="Y589" i="2" s="1"/>
  <c r="H589" i="3" s="1"/>
  <c r="L42" i="4"/>
  <c r="X548" i="2" s="1"/>
  <c r="Y548" i="2" s="1"/>
  <c r="H548" i="3" s="1"/>
  <c r="AR571" i="2"/>
  <c r="AR161" i="2"/>
  <c r="BD719" i="2"/>
  <c r="BD115" i="2"/>
  <c r="BD24" i="2"/>
  <c r="M644" i="2"/>
  <c r="M564" i="2"/>
  <c r="M115" i="2"/>
  <c r="M680" i="2"/>
  <c r="BD513" i="2"/>
  <c r="BD267" i="2"/>
  <c r="M329" i="2"/>
  <c r="M502" i="2"/>
  <c r="M207" i="2"/>
  <c r="M151" i="2"/>
  <c r="M450" i="2"/>
  <c r="M90" i="2"/>
  <c r="M43" i="2"/>
  <c r="M24" i="2"/>
  <c r="BD706" i="2"/>
  <c r="BD564" i="2"/>
  <c r="BD680" i="2"/>
  <c r="BD421" i="2"/>
  <c r="BD90" i="2"/>
  <c r="M589" i="2"/>
  <c r="M164" i="2"/>
  <c r="L39" i="4"/>
  <c r="X502" i="2" s="1"/>
  <c r="Y502" i="2" s="1"/>
  <c r="H502" i="3" s="1"/>
  <c r="W32" i="1"/>
  <c r="W35" i="1" s="1"/>
  <c r="AD39" i="1" s="1"/>
  <c r="AR527" i="2"/>
  <c r="AR688" i="2"/>
  <c r="L32" i="4"/>
  <c r="X354" i="2" s="1"/>
  <c r="Y354" i="2" s="1"/>
  <c r="H354" i="3" s="1"/>
  <c r="L18" i="4"/>
  <c r="X90" i="2" s="1"/>
  <c r="Y90" i="2" s="1"/>
  <c r="H90" i="3" s="1"/>
  <c r="AR666" i="2"/>
  <c r="AR65" i="2"/>
  <c r="AR464" i="2"/>
  <c r="M421" i="2"/>
  <c r="M267" i="2"/>
  <c r="AR667" i="2"/>
  <c r="AR405" i="2"/>
  <c r="M719" i="2"/>
  <c r="Z10" i="4"/>
  <c r="M662" i="2"/>
  <c r="AR749" i="2"/>
  <c r="AR660" i="2"/>
  <c r="AR500" i="2"/>
  <c r="AR484" i="2"/>
  <c r="AR659" i="2"/>
  <c r="AR509" i="2"/>
  <c r="AR694" i="2"/>
  <c r="AR469" i="2"/>
  <c r="AR467" i="2"/>
  <c r="AR737" i="2"/>
  <c r="AR468" i="2"/>
  <c r="AR497" i="2"/>
  <c r="AR290" i="2"/>
  <c r="AR357" i="2"/>
  <c r="AR315" i="2"/>
  <c r="AR335" i="2"/>
  <c r="AR225" i="2"/>
  <c r="AR249" i="2"/>
  <c r="AR461" i="2"/>
  <c r="AR332" i="2"/>
  <c r="AR272" i="2"/>
  <c r="AR135" i="2"/>
  <c r="AR284" i="2"/>
  <c r="AR197" i="2"/>
  <c r="AR362" i="2"/>
  <c r="AR104" i="2"/>
  <c r="AR252" i="2"/>
  <c r="AR106" i="2"/>
  <c r="AR181" i="2"/>
  <c r="AR26" i="2"/>
  <c r="AR49" i="2"/>
  <c r="AR37" i="2"/>
  <c r="AR155" i="2"/>
  <c r="AR324" i="2"/>
  <c r="AR763" i="2"/>
  <c r="AR695" i="2"/>
  <c r="AR756" i="2"/>
  <c r="AR269" i="2"/>
  <c r="AR722" i="2"/>
  <c r="AR171" i="2"/>
  <c r="AR95" i="2"/>
  <c r="AR299" i="2"/>
  <c r="AR410" i="2"/>
  <c r="AR595" i="2"/>
  <c r="AR730" i="2"/>
  <c r="AR219" i="2"/>
  <c r="AR198" i="2"/>
  <c r="AR34" i="2"/>
  <c r="AR86" i="2"/>
  <c r="AR262" i="2"/>
  <c r="AR325" i="2"/>
  <c r="AR687" i="2"/>
  <c r="AR669" i="2"/>
  <c r="AR371" i="2"/>
  <c r="AR665" i="2"/>
  <c r="AR175" i="2"/>
  <c r="AR526" i="2"/>
  <c r="AR298" i="2"/>
  <c r="AR430" i="2"/>
  <c r="AR635" i="2"/>
  <c r="AR738" i="2"/>
  <c r="AR261" i="2"/>
  <c r="AR28" i="2"/>
  <c r="AR69" i="2"/>
  <c r="AR109" i="2"/>
  <c r="AR277" i="2"/>
  <c r="AR359" i="2"/>
  <c r="AR579" i="2"/>
  <c r="AR632" i="2"/>
  <c r="AR30" i="2"/>
  <c r="AR179" i="2"/>
  <c r="AR131" i="2"/>
  <c r="AR427" i="2"/>
  <c r="AR391" i="2"/>
  <c r="AR614" i="2"/>
  <c r="AR622" i="2"/>
  <c r="AR48" i="2"/>
  <c r="AR714" i="2"/>
  <c r="AR556" i="2"/>
  <c r="AR743" i="2"/>
  <c r="AR658" i="2"/>
  <c r="AR498" i="2"/>
  <c r="AR482" i="2"/>
  <c r="AR634" i="2"/>
  <c r="AR471" i="2"/>
  <c r="AR568" i="2"/>
  <c r="AR460" i="2"/>
  <c r="AR458" i="2"/>
  <c r="AR544" i="2"/>
  <c r="AR466" i="2"/>
  <c r="AR477" i="2"/>
  <c r="AR506" i="2"/>
  <c r="AR566" i="2"/>
  <c r="AR313" i="2"/>
  <c r="AR333" i="2"/>
  <c r="AR204" i="2"/>
  <c r="AR247" i="2"/>
  <c r="AR425" i="2"/>
  <c r="AR533" i="2"/>
  <c r="AR248" i="2"/>
  <c r="AR133" i="2"/>
  <c r="AR210" i="2"/>
  <c r="AR195" i="2"/>
  <c r="AR280" i="2"/>
  <c r="AR100" i="2"/>
  <c r="AR314" i="2"/>
  <c r="AR55" i="2"/>
  <c r="AR59" i="2"/>
  <c r="AR124" i="2"/>
  <c r="AR68" i="2"/>
  <c r="AR40" i="2"/>
  <c r="AR244" i="2"/>
  <c r="AR386" i="2"/>
  <c r="AR573" i="2"/>
  <c r="AR676" i="2"/>
  <c r="AR770" i="2"/>
  <c r="AR240" i="2"/>
  <c r="AR83" i="2"/>
  <c r="AR56" i="2"/>
  <c r="AR157" i="2"/>
  <c r="AR297" i="2"/>
  <c r="AR393" i="2"/>
  <c r="AR651" i="2"/>
  <c r="AR728" i="2"/>
  <c r="AR265" i="2"/>
  <c r="AR291" i="2"/>
  <c r="AR70" i="2"/>
  <c r="AR205" i="2"/>
  <c r="AR384" i="2"/>
  <c r="AR633" i="2"/>
  <c r="AR523" i="2"/>
  <c r="AR734" i="2"/>
  <c r="AR390" i="2"/>
  <c r="AR712" i="2"/>
  <c r="AR105" i="2"/>
  <c r="AR326" i="2"/>
  <c r="AR561" i="2"/>
  <c r="AR576" i="2"/>
  <c r="AR550" i="2"/>
  <c r="AR765" i="2"/>
  <c r="AR409" i="2"/>
  <c r="AR170" i="2"/>
  <c r="AR129" i="2"/>
  <c r="AR373" i="2"/>
  <c r="AR271" i="2"/>
  <c r="AR389" i="2"/>
  <c r="AR585" i="2"/>
  <c r="AR768" i="2"/>
  <c r="AR704" i="2"/>
  <c r="AR700" i="2"/>
  <c r="AR656" i="2"/>
  <c r="AR496" i="2"/>
  <c r="AR480" i="2"/>
  <c r="AR615" i="2"/>
  <c r="AR462" i="2"/>
  <c r="AR543" i="2"/>
  <c r="AR448" i="2"/>
  <c r="AR452" i="2"/>
  <c r="AR537" i="2"/>
  <c r="AR453" i="2"/>
  <c r="AR733" i="2"/>
  <c r="AR407" i="2"/>
  <c r="AR542" i="2"/>
  <c r="AR311" i="2"/>
  <c r="AR331" i="2"/>
  <c r="AR202" i="2"/>
  <c r="AR245" i="2"/>
  <c r="AR485" i="2"/>
  <c r="AR511" i="2"/>
  <c r="AR228" i="2"/>
  <c r="AR119" i="2"/>
  <c r="AR419" i="2"/>
  <c r="AR193" i="2"/>
  <c r="AR214" i="2"/>
  <c r="AR96" i="2"/>
  <c r="AR276" i="2"/>
  <c r="AR173" i="2"/>
  <c r="AR218" i="2"/>
  <c r="AR47" i="2"/>
  <c r="AR38" i="2"/>
  <c r="AR134" i="2"/>
  <c r="AR279" i="2"/>
  <c r="AR437" i="2"/>
  <c r="AR641" i="2"/>
  <c r="AR673" i="2"/>
  <c r="AR132" i="2"/>
  <c r="AR78" i="2"/>
  <c r="AR39" i="2"/>
  <c r="AR169" i="2"/>
  <c r="AR121" i="2"/>
  <c r="AR612" i="2"/>
  <c r="AR518" i="2"/>
  <c r="AR584" i="2"/>
  <c r="AR766" i="2"/>
  <c r="AR431" i="2"/>
  <c r="AR519" i="2"/>
  <c r="AR87" i="2"/>
  <c r="AR176" i="2"/>
  <c r="AR302" i="2"/>
  <c r="AR495" i="2"/>
  <c r="AR668" i="2"/>
  <c r="AR717" i="2"/>
  <c r="AR598" i="2"/>
  <c r="AR52" i="2"/>
  <c r="AR345" i="2"/>
  <c r="AR234" i="2"/>
  <c r="AR349" i="2"/>
  <c r="AR698" i="2"/>
  <c r="AR654" i="2"/>
  <c r="AR736" i="2"/>
  <c r="AR428" i="2"/>
  <c r="AR166" i="2"/>
  <c r="AR138" i="2"/>
  <c r="AR199" i="2"/>
  <c r="AR356" i="2"/>
  <c r="AR361" i="2"/>
  <c r="AR684" i="2"/>
  <c r="AR678" i="2"/>
  <c r="AR528" i="2"/>
  <c r="AR167" i="2"/>
  <c r="AR111" i="2"/>
  <c r="AR372" i="2"/>
  <c r="AR424" i="2"/>
  <c r="AR599" i="2"/>
  <c r="AR647" i="2"/>
  <c r="AR117" i="2"/>
  <c r="AR50" i="2"/>
  <c r="AR606" i="2"/>
  <c r="AR729" i="2"/>
  <c r="AR586" i="2"/>
  <c r="AR490" i="2"/>
  <c r="AR567" i="2"/>
  <c r="AR381" i="2"/>
  <c r="AR686" i="2"/>
  <c r="AR753" i="2"/>
  <c r="AR456" i="2"/>
  <c r="AR481" i="2"/>
  <c r="AR394" i="2"/>
  <c r="AR233" i="2"/>
  <c r="AR251" i="2"/>
  <c r="AR338" i="2"/>
  <c r="AR226" i="2"/>
  <c r="AR76" i="2"/>
  <c r="AR160" i="2"/>
  <c r="AR108" i="2"/>
  <c r="AR102" i="2"/>
  <c r="AR118" i="2"/>
  <c r="AR51" i="2"/>
  <c r="AR149" i="2"/>
  <c r="AR292" i="2"/>
  <c r="AR581" i="2"/>
  <c r="AR137" i="2"/>
  <c r="AR414" i="2"/>
  <c r="AR148" i="2"/>
  <c r="AR301" i="2"/>
  <c r="AR674" i="2"/>
  <c r="AR569" i="2"/>
  <c r="AR144" i="2"/>
  <c r="AR58" i="2"/>
  <c r="AR417" i="2"/>
  <c r="AR404" i="2"/>
  <c r="AR177" i="2"/>
  <c r="AR613" i="2"/>
  <c r="AR103" i="2"/>
  <c r="AR348" i="2"/>
  <c r="AR521" i="2"/>
  <c r="AR185" i="2"/>
  <c r="AR671" i="2"/>
  <c r="AR18" i="2"/>
  <c r="AR524" i="2"/>
  <c r="AR434" i="2"/>
  <c r="AR691" i="2"/>
  <c r="AR432" i="2"/>
  <c r="AR209" i="2"/>
  <c r="AR258" i="2"/>
  <c r="AR522" i="2"/>
  <c r="AR618" i="2"/>
  <c r="AR127" i="2"/>
  <c r="AR319" i="2"/>
  <c r="AR723" i="2"/>
  <c r="AR741" i="2"/>
  <c r="AR488" i="2"/>
  <c r="AR757" i="2"/>
  <c r="AR379" i="2"/>
  <c r="AR541" i="2"/>
  <c r="AR510" i="2"/>
  <c r="AR592" i="2"/>
  <c r="AR459" i="2"/>
  <c r="AR415" i="2"/>
  <c r="AR231" i="2"/>
  <c r="AR243" i="2"/>
  <c r="AR336" i="2"/>
  <c r="AR310" i="2"/>
  <c r="AR358" i="2"/>
  <c r="AR158" i="2"/>
  <c r="AR92" i="2"/>
  <c r="AR81" i="2"/>
  <c r="AR79" i="2"/>
  <c r="AR94" i="2"/>
  <c r="AR178" i="2"/>
  <c r="AR605" i="2"/>
  <c r="AR620" i="2"/>
  <c r="AR413" i="2"/>
  <c r="AR582" i="2"/>
  <c r="AR97" i="2"/>
  <c r="AR327" i="2"/>
  <c r="AR646" i="2"/>
  <c r="AR652" i="2"/>
  <c r="AR122" i="2"/>
  <c r="AR188" i="2"/>
  <c r="AR300" i="2"/>
  <c r="AR426" i="2"/>
  <c r="AR230" i="2"/>
  <c r="AR577" i="2"/>
  <c r="AR257" i="2"/>
  <c r="AR378" i="2"/>
  <c r="AR572" i="2"/>
  <c r="AR88" i="2"/>
  <c r="AR750" i="2"/>
  <c r="AR125" i="2"/>
  <c r="AR382" i="2"/>
  <c r="AR703" i="2"/>
  <c r="AR742" i="2"/>
  <c r="AR22" i="2"/>
  <c r="AR211" i="2"/>
  <c r="AR370" i="2"/>
  <c r="AR438" i="2"/>
  <c r="AR621" i="2"/>
  <c r="AR401" i="2"/>
  <c r="AR400" i="2"/>
  <c r="AR721" i="2"/>
  <c r="AR476" i="2"/>
  <c r="AR499" i="2"/>
  <c r="AR555" i="2"/>
  <c r="AR374" i="2"/>
  <c r="AR200" i="2"/>
  <c r="AR308" i="2"/>
  <c r="AR250" i="2"/>
  <c r="AR77" i="2"/>
  <c r="AR45" i="2"/>
  <c r="AR283" i="2"/>
  <c r="AR32" i="2"/>
  <c r="AR323" i="2"/>
  <c r="AR709" i="2"/>
  <c r="AR607" i="2"/>
  <c r="AR295" i="2"/>
  <c r="AR587" i="2"/>
  <c r="AR446" i="2"/>
  <c r="AR715" i="2"/>
  <c r="AR107" i="2"/>
  <c r="AR649" i="2"/>
  <c r="AR130" i="2"/>
  <c r="AR368" i="2"/>
  <c r="AR746" i="2"/>
  <c r="AR693" i="2"/>
  <c r="AR739" i="2"/>
  <c r="AR696" i="2"/>
  <c r="AR455" i="2"/>
  <c r="AR596" i="2"/>
  <c r="AR627" i="2"/>
  <c r="AR731" i="2"/>
  <c r="AR486" i="2"/>
  <c r="AR747" i="2"/>
  <c r="AR534" i="2"/>
  <c r="AR532" i="2"/>
  <c r="AR470" i="2"/>
  <c r="AR535" i="2"/>
  <c r="AR403" i="2"/>
  <c r="AR309" i="2"/>
  <c r="AR229" i="2"/>
  <c r="AR241" i="2"/>
  <c r="AR334" i="2"/>
  <c r="AR278" i="2"/>
  <c r="AR312" i="2"/>
  <c r="AR156" i="2"/>
  <c r="AR270" i="2"/>
  <c r="AR53" i="2"/>
  <c r="AR74" i="2"/>
  <c r="AR67" i="2"/>
  <c r="AR159" i="2"/>
  <c r="AR479" i="2"/>
  <c r="AR580" i="2"/>
  <c r="AR593" i="2"/>
  <c r="AR85" i="2"/>
  <c r="AR186" i="2"/>
  <c r="AR322" i="2"/>
  <c r="AR597" i="2"/>
  <c r="AR732" i="2"/>
  <c r="AR423" i="2"/>
  <c r="AR54" i="2"/>
  <c r="AR640" i="2"/>
  <c r="AR551" i="2"/>
  <c r="AR264" i="2"/>
  <c r="AR183" i="2"/>
  <c r="AR182" i="2"/>
  <c r="AR594" i="2"/>
  <c r="AR672" i="2"/>
  <c r="AR196" i="2"/>
  <c r="AR491" i="2"/>
  <c r="AR238" i="2"/>
  <c r="AR416" i="2"/>
  <c r="AR562" i="2"/>
  <c r="AR708" i="2"/>
  <c r="AR143" i="2"/>
  <c r="AR194" i="2"/>
  <c r="AR387" i="2"/>
  <c r="AR517" i="2"/>
  <c r="AR653" i="2"/>
  <c r="AR443" i="2"/>
  <c r="AR619" i="2"/>
  <c r="AR625" i="2"/>
  <c r="AR727" i="2"/>
  <c r="AR478" i="2"/>
  <c r="AR545" i="2"/>
  <c r="AR507" i="2"/>
  <c r="AR505" i="2"/>
  <c r="AR463" i="2"/>
  <c r="AR540" i="2"/>
  <c r="AR388" i="2"/>
  <c r="AR307" i="2"/>
  <c r="AR227" i="2"/>
  <c r="AR239" i="2"/>
  <c r="AR457" i="2"/>
  <c r="AR141" i="2"/>
  <c r="AR274" i="2"/>
  <c r="AR154" i="2"/>
  <c r="AR216" i="2"/>
  <c r="AR110" i="2"/>
  <c r="AR61" i="2"/>
  <c r="AR66" i="2"/>
  <c r="AR242" i="2"/>
  <c r="AR520" i="2"/>
  <c r="AR769" i="2"/>
  <c r="AR762" i="2"/>
  <c r="AR35" i="2"/>
  <c r="AR168" i="2"/>
  <c r="AR445" i="2"/>
  <c r="AR675" i="2"/>
  <c r="AR224" i="2"/>
  <c r="AR713" i="2"/>
  <c r="AR101" i="2"/>
  <c r="AR347" i="2"/>
  <c r="AR628" i="2"/>
  <c r="AR344" i="2"/>
  <c r="AR46" i="2"/>
  <c r="AR153" i="2"/>
  <c r="AR617" i="2"/>
  <c r="AR591" i="2"/>
  <c r="AR321" i="2"/>
  <c r="AR682" i="2"/>
  <c r="AR320" i="2"/>
  <c r="AR364" i="2"/>
  <c r="AR683" i="2"/>
  <c r="AR773" i="2"/>
  <c r="AR285" i="2"/>
  <c r="AR232" i="2"/>
  <c r="AR395" i="2"/>
  <c r="AR552" i="2"/>
  <c r="AR710" i="2"/>
  <c r="AR655" i="2"/>
  <c r="AR626" i="2"/>
  <c r="AR745" i="2"/>
  <c r="AR536" i="2"/>
  <c r="AR639" i="2"/>
  <c r="AR454" i="2"/>
  <c r="AR433" i="2"/>
  <c r="AR237" i="2"/>
  <c r="AR139" i="2"/>
  <c r="AR146" i="2"/>
  <c r="AR57" i="2"/>
  <c r="AR31" i="2"/>
  <c r="AR436" i="2"/>
  <c r="AR726" i="2"/>
  <c r="AR126" i="2"/>
  <c r="AR637" i="2"/>
  <c r="AR75" i="2"/>
  <c r="AR99" i="2"/>
  <c r="AR608" i="2"/>
  <c r="AR187" i="2"/>
  <c r="AR557" i="2"/>
  <c r="AR263" i="2"/>
  <c r="AR648" i="2"/>
  <c r="AR600" i="2"/>
  <c r="AR740" i="2"/>
  <c r="AR351" i="2"/>
  <c r="AR697" i="2"/>
  <c r="AR664" i="2"/>
  <c r="AR735" i="2"/>
  <c r="AR483" i="2"/>
  <c r="AR366" i="2"/>
  <c r="AR575" i="2"/>
  <c r="AR616" i="2"/>
  <c r="AR724" i="2"/>
  <c r="AR493" i="2"/>
  <c r="AR553" i="2"/>
  <c r="AR369" i="2"/>
  <c r="AR350" i="2"/>
  <c r="AR638" i="2"/>
  <c r="AR365" i="2"/>
  <c r="AR650" i="2"/>
  <c r="AR174" i="2"/>
  <c r="AR699" i="2"/>
  <c r="AR217" i="2"/>
  <c r="AR772" i="2"/>
  <c r="AR93" i="2"/>
  <c r="AR21" i="2"/>
  <c r="AR203" i="2"/>
  <c r="AR392" i="2"/>
  <c r="AR339" i="2"/>
  <c r="AR538" i="2"/>
  <c r="AR636" i="2"/>
  <c r="AR33" i="2"/>
  <c r="AR408" i="2"/>
  <c r="AR123" i="2"/>
  <c r="AR273" i="2"/>
  <c r="AR525" i="2"/>
  <c r="AR367" i="2"/>
  <c r="AR767" i="2"/>
  <c r="AR201" i="2"/>
  <c r="AR685" i="2"/>
  <c r="AR41" i="2"/>
  <c r="AR758" i="2"/>
  <c r="AR136" i="2"/>
  <c r="AR360" i="2"/>
  <c r="AR212" i="2"/>
  <c r="AR442" i="2"/>
  <c r="AR399" i="2"/>
  <c r="AR489" i="2"/>
  <c r="AR657" i="2"/>
  <c r="AR29" i="2"/>
  <c r="AR764" i="2"/>
  <c r="AR554" i="2"/>
  <c r="AR435" i="2"/>
  <c r="AR346" i="2"/>
  <c r="AR17" i="2"/>
  <c r="AR140" i="2"/>
  <c r="AR220" i="2"/>
  <c r="AR235" i="2"/>
  <c r="AR383" i="2"/>
  <c r="AR755" i="2"/>
  <c r="AR744" i="2"/>
  <c r="AR260" i="2"/>
  <c r="AR444" i="2"/>
  <c r="AR192" i="2"/>
  <c r="AR677" i="2"/>
  <c r="AR352" i="2"/>
  <c r="AR690" i="2"/>
  <c r="AR180" i="2"/>
  <c r="AR689" i="2"/>
  <c r="AR36" i="2"/>
  <c r="AR583" i="2"/>
  <c r="AR60" i="2"/>
  <c r="AR236" i="2"/>
  <c r="AR80" i="2"/>
  <c r="AR504" i="2"/>
  <c r="AR465" i="2"/>
  <c r="AR539" i="2"/>
  <c r="AR492" i="2"/>
  <c r="AR692" i="2"/>
  <c r="AR296" i="2"/>
  <c r="AR516" i="2"/>
  <c r="AR363" i="2"/>
  <c r="AR412" i="2"/>
  <c r="AR147" i="2"/>
  <c r="AR215" i="2"/>
  <c r="AR429" i="2"/>
  <c r="AR19" i="2"/>
  <c r="AR162" i="2"/>
  <c r="AR337" i="2"/>
  <c r="AR385" i="2"/>
  <c r="AR716" i="2"/>
  <c r="AR752" i="2"/>
  <c r="AR711" i="2"/>
  <c r="AR213" i="2"/>
  <c r="AR604" i="2"/>
  <c r="AR275" i="2"/>
  <c r="AR670" i="2"/>
  <c r="AR184" i="2"/>
  <c r="AR771" i="2"/>
  <c r="AR27" i="2"/>
  <c r="AR515" i="2"/>
  <c r="AR172" i="2"/>
  <c r="AR642" i="2"/>
  <c r="AR98" i="2"/>
  <c r="AR306" i="2"/>
  <c r="AR82" i="2"/>
  <c r="AR253" i="2"/>
  <c r="AR487" i="2"/>
  <c r="AR546" i="2"/>
  <c r="AR494" i="2"/>
  <c r="AR281" i="2"/>
  <c r="AR559" i="2"/>
  <c r="AR406" i="2"/>
  <c r="AR560" i="2"/>
  <c r="AR259" i="2"/>
  <c r="AR447" i="2"/>
  <c r="AR145" i="2"/>
  <c r="AR748" i="2"/>
  <c r="AR282" i="2"/>
  <c r="AR754" i="2"/>
  <c r="AR574" i="2"/>
  <c r="AR293" i="2"/>
  <c r="AR701" i="2"/>
  <c r="AR142" i="2"/>
  <c r="AR624" i="2"/>
  <c r="AR120" i="2"/>
  <c r="AR418" i="2"/>
  <c r="AR578" i="2"/>
  <c r="AR623" i="2"/>
  <c r="AR558" i="2"/>
  <c r="AR402" i="2"/>
  <c r="AR246" i="2"/>
  <c r="AR112" i="2"/>
  <c r="AR84" i="2"/>
  <c r="AR508" i="2"/>
  <c r="AR411" i="2"/>
  <c r="AR725" i="2"/>
  <c r="AR702" i="2"/>
  <c r="L30" i="4"/>
  <c r="X329" i="2" s="1"/>
  <c r="Y329" i="2" s="1"/>
  <c r="H329" i="3" s="1"/>
  <c r="L48" i="4"/>
  <c r="X644" i="2" s="1"/>
  <c r="Y644" i="2" s="1"/>
  <c r="H644" i="3" s="1"/>
  <c r="L15" i="4"/>
  <c r="X43" i="2" s="1"/>
  <c r="Y43" i="2" s="1"/>
  <c r="H43" i="3" s="1"/>
  <c r="L27" i="4"/>
  <c r="X288" i="2" s="1"/>
  <c r="Y288" i="2" s="1"/>
  <c r="H288" i="3" s="1"/>
  <c r="L49" i="4"/>
  <c r="X662" i="2" s="1"/>
  <c r="Y662" i="2" s="1"/>
  <c r="H662" i="3" s="1"/>
  <c r="M354" i="2"/>
  <c r="L33" i="4"/>
  <c r="X376" i="2" s="1"/>
  <c r="Y376" i="2" s="1"/>
  <c r="H376" i="3" s="1"/>
  <c r="L38" i="4"/>
  <c r="X473" i="2" s="1"/>
  <c r="Y473" i="2" s="1"/>
  <c r="H473" i="3" s="1"/>
  <c r="M530" i="2"/>
  <c r="N743" i="2"/>
  <c r="N727" i="2"/>
  <c r="N755" i="2"/>
  <c r="N739" i="2"/>
  <c r="N723" i="2"/>
  <c r="W40" i="1"/>
  <c r="W38" i="1"/>
  <c r="W41" i="1"/>
  <c r="W37" i="1"/>
  <c r="AL11" i="2" s="1"/>
  <c r="L36" i="4"/>
  <c r="X440" i="2" s="1"/>
  <c r="Y440" i="2" s="1"/>
  <c r="H440" i="3" s="1"/>
  <c r="L50" i="4"/>
  <c r="X680" i="2" s="1"/>
  <c r="Y680" i="2" s="1"/>
  <c r="H680" i="3" s="1"/>
  <c r="L17" i="4"/>
  <c r="X72" i="2" s="1"/>
  <c r="Y72" i="2" s="1"/>
  <c r="H72" i="3" s="1"/>
  <c r="AZ773" i="2"/>
  <c r="AZ771" i="2"/>
  <c r="AZ769" i="2"/>
  <c r="AZ767" i="2"/>
  <c r="AZ765" i="2"/>
  <c r="AZ763" i="2"/>
  <c r="AZ716" i="2"/>
  <c r="AZ714" i="2"/>
  <c r="AZ712" i="2"/>
  <c r="AZ710" i="2"/>
  <c r="AZ708" i="2"/>
  <c r="AZ757" i="2"/>
  <c r="AZ755" i="2"/>
  <c r="AZ753" i="2"/>
  <c r="AZ751" i="2"/>
  <c r="AZ749" i="2"/>
  <c r="AZ747" i="2"/>
  <c r="AZ745" i="2"/>
  <c r="AZ743" i="2"/>
  <c r="AZ741" i="2"/>
  <c r="AZ739" i="2"/>
  <c r="AZ737" i="2"/>
  <c r="AZ735" i="2"/>
  <c r="AZ733" i="2"/>
  <c r="AZ731" i="2"/>
  <c r="AZ729" i="2"/>
  <c r="AZ727" i="2"/>
  <c r="AZ725" i="2"/>
  <c r="AZ723" i="2"/>
  <c r="AZ721" i="2"/>
  <c r="AZ715" i="2"/>
  <c r="AZ702" i="2"/>
  <c r="AZ770" i="2"/>
  <c r="AZ762" i="2"/>
  <c r="AZ758" i="2"/>
  <c r="AZ754" i="2"/>
  <c r="AZ750" i="2"/>
  <c r="AZ746" i="2"/>
  <c r="AZ742" i="2"/>
  <c r="AZ738" i="2"/>
  <c r="AZ734" i="2"/>
  <c r="AZ730" i="2"/>
  <c r="AZ726" i="2"/>
  <c r="AZ722" i="2"/>
  <c r="AZ701" i="2"/>
  <c r="AZ700" i="2"/>
  <c r="AZ698" i="2"/>
  <c r="AZ696" i="2"/>
  <c r="AZ694" i="2"/>
  <c r="AZ692" i="2"/>
  <c r="AZ690" i="2"/>
  <c r="AZ688" i="2"/>
  <c r="AZ686" i="2"/>
  <c r="AZ713" i="2"/>
  <c r="AZ703" i="2"/>
  <c r="AZ709" i="2"/>
  <c r="AZ704" i="2"/>
  <c r="AZ744" i="2"/>
  <c r="AZ699" i="2"/>
  <c r="AZ687" i="2"/>
  <c r="AZ673" i="2"/>
  <c r="AZ665" i="2"/>
  <c r="AZ732" i="2"/>
  <c r="AZ674" i="2"/>
  <c r="AZ666" i="2"/>
  <c r="AZ641" i="2"/>
  <c r="AZ639" i="2"/>
  <c r="AZ637" i="2"/>
  <c r="AZ635" i="2"/>
  <c r="AZ633" i="2"/>
  <c r="AZ768" i="2"/>
  <c r="AZ764" i="2"/>
  <c r="AZ728" i="2"/>
  <c r="AZ691" i="2"/>
  <c r="AZ685" i="2"/>
  <c r="AZ684" i="2"/>
  <c r="AZ683" i="2"/>
  <c r="AZ682" i="2"/>
  <c r="AZ677" i="2"/>
  <c r="AZ669" i="2"/>
  <c r="AZ752" i="2"/>
  <c r="AZ711" i="2"/>
  <c r="AZ697" i="2"/>
  <c r="AZ678" i="2"/>
  <c r="AZ672" i="2"/>
  <c r="AZ651" i="2"/>
  <c r="AZ648" i="2"/>
  <c r="AZ628" i="2"/>
  <c r="AZ625" i="2"/>
  <c r="AZ766" i="2"/>
  <c r="AZ695" i="2"/>
  <c r="AZ659" i="2"/>
  <c r="AZ657" i="2"/>
  <c r="AZ640" i="2"/>
  <c r="AZ622" i="2"/>
  <c r="AZ619" i="2"/>
  <c r="AZ617" i="2"/>
  <c r="AZ615" i="2"/>
  <c r="AZ613" i="2"/>
  <c r="AZ600" i="2"/>
  <c r="AZ598" i="2"/>
  <c r="AZ596" i="2"/>
  <c r="AZ594" i="2"/>
  <c r="AZ592" i="2"/>
  <c r="AZ724" i="2"/>
  <c r="AZ693" i="2"/>
  <c r="AZ671" i="2"/>
  <c r="AZ668" i="2"/>
  <c r="AZ655" i="2"/>
  <c r="AZ652" i="2"/>
  <c r="AZ634" i="2"/>
  <c r="AZ670" i="2"/>
  <c r="AZ664" i="2"/>
  <c r="AZ638" i="2"/>
  <c r="AZ658" i="2"/>
  <c r="AZ627" i="2"/>
  <c r="AZ599" i="2"/>
  <c r="AZ583" i="2"/>
  <c r="AZ575" i="2"/>
  <c r="AZ572" i="2"/>
  <c r="AZ561" i="2"/>
  <c r="AZ559" i="2"/>
  <c r="AZ557" i="2"/>
  <c r="AZ555" i="2"/>
  <c r="AZ553" i="2"/>
  <c r="AZ551" i="2"/>
  <c r="AZ528" i="2"/>
  <c r="AZ526" i="2"/>
  <c r="AZ524" i="2"/>
  <c r="AZ522" i="2"/>
  <c r="AZ520" i="2"/>
  <c r="AZ518" i="2"/>
  <c r="AZ516" i="2"/>
  <c r="AZ499" i="2"/>
  <c r="AZ497" i="2"/>
  <c r="AZ495" i="2"/>
  <c r="AZ493" i="2"/>
  <c r="AZ491" i="2"/>
  <c r="AZ489" i="2"/>
  <c r="AZ487" i="2"/>
  <c r="AZ485" i="2"/>
  <c r="AZ483" i="2"/>
  <c r="AZ481" i="2"/>
  <c r="AZ479" i="2"/>
  <c r="AZ477" i="2"/>
  <c r="AZ475" i="2"/>
  <c r="AZ772" i="2"/>
  <c r="AZ660" i="2"/>
  <c r="AZ647" i="2"/>
  <c r="AZ646" i="2"/>
  <c r="AZ642" i="2"/>
  <c r="AZ632" i="2"/>
  <c r="AZ626" i="2"/>
  <c r="AZ612" i="2"/>
  <c r="AZ605" i="2"/>
  <c r="AZ585" i="2"/>
  <c r="AZ569" i="2"/>
  <c r="AZ736" i="2"/>
  <c r="AZ689" i="2"/>
  <c r="AZ614" i="2"/>
  <c r="AZ607" i="2"/>
  <c r="AZ587" i="2"/>
  <c r="AZ579" i="2"/>
  <c r="AZ576" i="2"/>
  <c r="AZ568" i="2"/>
  <c r="AZ566" i="2"/>
  <c r="AZ545" i="2"/>
  <c r="AZ543" i="2"/>
  <c r="AZ541" i="2"/>
  <c r="AZ539" i="2"/>
  <c r="AZ537" i="2"/>
  <c r="AZ535" i="2"/>
  <c r="AZ533" i="2"/>
  <c r="AZ510" i="2"/>
  <c r="AZ508" i="2"/>
  <c r="AZ506" i="2"/>
  <c r="AZ504" i="2"/>
  <c r="AZ471" i="2"/>
  <c r="AZ469" i="2"/>
  <c r="AZ467" i="2"/>
  <c r="AZ465" i="2"/>
  <c r="AZ463" i="2"/>
  <c r="AZ461" i="2"/>
  <c r="AZ459" i="2"/>
  <c r="AZ457" i="2"/>
  <c r="AZ455" i="2"/>
  <c r="AZ453" i="2"/>
  <c r="AZ624" i="2"/>
  <c r="AZ623" i="2"/>
  <c r="AZ616" i="2"/>
  <c r="AZ582" i="2"/>
  <c r="AZ573" i="2"/>
  <c r="AZ570" i="2"/>
  <c r="AZ748" i="2"/>
  <c r="AZ621" i="2"/>
  <c r="AZ618" i="2"/>
  <c r="AZ591" i="2"/>
  <c r="AZ584" i="2"/>
  <c r="AZ580" i="2"/>
  <c r="AZ562" i="2"/>
  <c r="AZ560" i="2"/>
  <c r="AZ558" i="2"/>
  <c r="AZ556" i="2"/>
  <c r="AZ554" i="2"/>
  <c r="AZ552" i="2"/>
  <c r="AZ550" i="2"/>
  <c r="AZ527" i="2"/>
  <c r="AZ525" i="2"/>
  <c r="AZ523" i="2"/>
  <c r="AZ521" i="2"/>
  <c r="AZ519" i="2"/>
  <c r="AZ517" i="2"/>
  <c r="AZ515" i="2"/>
  <c r="AZ500" i="2"/>
  <c r="AZ498" i="2"/>
  <c r="AZ496" i="2"/>
  <c r="AZ494" i="2"/>
  <c r="AZ492" i="2"/>
  <c r="AZ490" i="2"/>
  <c r="AZ488" i="2"/>
  <c r="AZ486" i="2"/>
  <c r="AZ484" i="2"/>
  <c r="AZ482" i="2"/>
  <c r="AZ480" i="2"/>
  <c r="AZ478" i="2"/>
  <c r="AZ476" i="2"/>
  <c r="AZ717" i="2"/>
  <c r="AZ656" i="2"/>
  <c r="AZ649" i="2"/>
  <c r="AZ571" i="2"/>
  <c r="AZ567" i="2"/>
  <c r="AZ546" i="2"/>
  <c r="AZ456" i="2"/>
  <c r="AZ653" i="2"/>
  <c r="AZ650" i="2"/>
  <c r="AZ604" i="2"/>
  <c r="AZ597" i="2"/>
  <c r="AZ544" i="2"/>
  <c r="AZ470" i="2"/>
  <c r="AZ444" i="2"/>
  <c r="AZ442" i="2"/>
  <c r="AZ419" i="2"/>
  <c r="AZ417" i="2"/>
  <c r="AZ415" i="2"/>
  <c r="AZ413" i="2"/>
  <c r="AZ411" i="2"/>
  <c r="AZ409" i="2"/>
  <c r="AZ407" i="2"/>
  <c r="AZ405" i="2"/>
  <c r="AZ403" i="2"/>
  <c r="AZ401" i="2"/>
  <c r="AZ399" i="2"/>
  <c r="AZ374" i="2"/>
  <c r="AZ372" i="2"/>
  <c r="AZ370" i="2"/>
  <c r="AZ368" i="2"/>
  <c r="AZ366" i="2"/>
  <c r="AZ364" i="2"/>
  <c r="AZ362" i="2"/>
  <c r="AZ360" i="2"/>
  <c r="AZ636" i="2"/>
  <c r="AZ608" i="2"/>
  <c r="AZ586" i="2"/>
  <c r="AZ581" i="2"/>
  <c r="AZ574" i="2"/>
  <c r="AZ542" i="2"/>
  <c r="AZ468" i="2"/>
  <c r="AZ454" i="2"/>
  <c r="AZ446" i="2"/>
  <c r="AZ675" i="2"/>
  <c r="AZ540" i="2"/>
  <c r="AZ740" i="2"/>
  <c r="AZ667" i="2"/>
  <c r="AZ654" i="2"/>
  <c r="AZ593" i="2"/>
  <c r="AZ538" i="2"/>
  <c r="AZ511" i="2"/>
  <c r="AZ464" i="2"/>
  <c r="AZ756" i="2"/>
  <c r="AZ534" i="2"/>
  <c r="AZ395" i="2"/>
  <c r="AZ390" i="2"/>
  <c r="AZ386" i="2"/>
  <c r="AZ381" i="2"/>
  <c r="AZ606" i="2"/>
  <c r="AZ577" i="2"/>
  <c r="AZ452" i="2"/>
  <c r="AZ447" i="2"/>
  <c r="AZ416" i="2"/>
  <c r="AZ408" i="2"/>
  <c r="AZ400" i="2"/>
  <c r="AZ391" i="2"/>
  <c r="AZ387" i="2"/>
  <c r="AZ536" i="2"/>
  <c r="AZ438" i="2"/>
  <c r="AZ434" i="2"/>
  <c r="AZ430" i="2"/>
  <c r="AZ426" i="2"/>
  <c r="AZ414" i="2"/>
  <c r="AZ406" i="2"/>
  <c r="AZ392" i="2"/>
  <c r="AZ383" i="2"/>
  <c r="AZ507" i="2"/>
  <c r="AZ460" i="2"/>
  <c r="AZ448" i="2"/>
  <c r="AZ443" i="2"/>
  <c r="AZ393" i="2"/>
  <c r="AZ388" i="2"/>
  <c r="AZ676" i="2"/>
  <c r="AZ509" i="2"/>
  <c r="AZ402" i="2"/>
  <c r="AZ359" i="2"/>
  <c r="AZ620" i="2"/>
  <c r="AZ462" i="2"/>
  <c r="AZ380" i="2"/>
  <c r="AZ371" i="2"/>
  <c r="AZ367" i="2"/>
  <c r="AZ358" i="2"/>
  <c r="AZ356" i="2"/>
  <c r="AZ339" i="2"/>
  <c r="AZ337" i="2"/>
  <c r="AZ335" i="2"/>
  <c r="AZ333" i="2"/>
  <c r="AZ331" i="2"/>
  <c r="AZ314" i="2"/>
  <c r="AZ312" i="2"/>
  <c r="AZ310" i="2"/>
  <c r="AZ308" i="2"/>
  <c r="AZ306" i="2"/>
  <c r="AZ285" i="2"/>
  <c r="AZ283" i="2"/>
  <c r="AZ281" i="2"/>
  <c r="AZ279" i="2"/>
  <c r="AZ277" i="2"/>
  <c r="AZ275" i="2"/>
  <c r="AZ273" i="2"/>
  <c r="AZ271" i="2"/>
  <c r="AZ269" i="2"/>
  <c r="AZ252" i="2"/>
  <c r="AZ250" i="2"/>
  <c r="AZ248" i="2"/>
  <c r="AZ246" i="2"/>
  <c r="AZ244" i="2"/>
  <c r="AZ242" i="2"/>
  <c r="AZ240" i="2"/>
  <c r="AZ238" i="2"/>
  <c r="AZ236" i="2"/>
  <c r="AZ532" i="2"/>
  <c r="AZ437" i="2"/>
  <c r="AZ394" i="2"/>
  <c r="AZ373" i="2"/>
  <c r="AZ369" i="2"/>
  <c r="AZ365" i="2"/>
  <c r="AZ595" i="2"/>
  <c r="AZ436" i="2"/>
  <c r="AZ435" i="2"/>
  <c r="AZ433" i="2"/>
  <c r="AZ385" i="2"/>
  <c r="AZ379" i="2"/>
  <c r="AZ352" i="2"/>
  <c r="AZ350" i="2"/>
  <c r="AZ348" i="2"/>
  <c r="AZ346" i="2"/>
  <c r="AZ344" i="2"/>
  <c r="AZ327" i="2"/>
  <c r="AZ325" i="2"/>
  <c r="AZ323" i="2"/>
  <c r="AZ321" i="2"/>
  <c r="AZ319" i="2"/>
  <c r="AZ302" i="2"/>
  <c r="AZ300" i="2"/>
  <c r="AZ298" i="2"/>
  <c r="AZ296" i="2"/>
  <c r="AZ294" i="2"/>
  <c r="AZ292" i="2"/>
  <c r="AZ290" i="2"/>
  <c r="AZ265" i="2"/>
  <c r="AZ263" i="2"/>
  <c r="AZ261" i="2"/>
  <c r="AZ259" i="2"/>
  <c r="AZ257" i="2"/>
  <c r="AZ466" i="2"/>
  <c r="AZ445" i="2"/>
  <c r="AZ432" i="2"/>
  <c r="AZ431" i="2"/>
  <c r="AZ429" i="2"/>
  <c r="AZ418" i="2"/>
  <c r="AZ412" i="2"/>
  <c r="AZ384" i="2"/>
  <c r="AZ363" i="2"/>
  <c r="AZ578" i="2"/>
  <c r="AZ347" i="2"/>
  <c r="AZ324" i="2"/>
  <c r="AZ260" i="2"/>
  <c r="AZ234" i="2"/>
  <c r="AZ232" i="2"/>
  <c r="AZ230" i="2"/>
  <c r="AZ228" i="2"/>
  <c r="AZ226" i="2"/>
  <c r="AZ224" i="2"/>
  <c r="AZ205" i="2"/>
  <c r="AZ203" i="2"/>
  <c r="AZ201" i="2"/>
  <c r="AZ199" i="2"/>
  <c r="AZ427" i="2"/>
  <c r="AZ425" i="2"/>
  <c r="AZ410" i="2"/>
  <c r="AZ338" i="2"/>
  <c r="AZ336" i="2"/>
  <c r="AZ334" i="2"/>
  <c r="AZ332" i="2"/>
  <c r="AZ297" i="2"/>
  <c r="AZ382" i="2"/>
  <c r="AZ345" i="2"/>
  <c r="AZ326" i="2"/>
  <c r="AZ262" i="2"/>
  <c r="AZ220" i="2"/>
  <c r="AZ218" i="2"/>
  <c r="AZ216" i="2"/>
  <c r="AZ214" i="2"/>
  <c r="AZ212" i="2"/>
  <c r="AZ210" i="2"/>
  <c r="AZ404" i="2"/>
  <c r="AZ361" i="2"/>
  <c r="AZ299" i="2"/>
  <c r="AZ291" i="2"/>
  <c r="AZ286" i="2"/>
  <c r="AZ284" i="2"/>
  <c r="AZ282" i="2"/>
  <c r="AZ280" i="2"/>
  <c r="AZ278" i="2"/>
  <c r="AZ276" i="2"/>
  <c r="AZ274" i="2"/>
  <c r="AZ272" i="2"/>
  <c r="AZ270" i="2"/>
  <c r="AZ505" i="2"/>
  <c r="AZ428" i="2"/>
  <c r="AZ378" i="2"/>
  <c r="AZ357" i="2"/>
  <c r="AZ301" i="2"/>
  <c r="AZ293" i="2"/>
  <c r="AZ311" i="2"/>
  <c r="AZ249" i="2"/>
  <c r="AZ233" i="2"/>
  <c r="AZ219" i="2"/>
  <c r="AZ322" i="2"/>
  <c r="AZ239" i="2"/>
  <c r="AZ227" i="2"/>
  <c r="AZ225" i="2"/>
  <c r="AZ187" i="2"/>
  <c r="AZ185" i="2"/>
  <c r="AZ183" i="2"/>
  <c r="AZ181" i="2"/>
  <c r="AZ179" i="2"/>
  <c r="AZ177" i="2"/>
  <c r="AZ175" i="2"/>
  <c r="AZ173" i="2"/>
  <c r="AZ171" i="2"/>
  <c r="AZ169" i="2"/>
  <c r="AZ167" i="2"/>
  <c r="AZ148" i="2"/>
  <c r="AZ146" i="2"/>
  <c r="AZ144" i="2"/>
  <c r="AZ142" i="2"/>
  <c r="AZ140" i="2"/>
  <c r="AZ138" i="2"/>
  <c r="AZ136" i="2"/>
  <c r="AZ134" i="2"/>
  <c r="AZ132" i="2"/>
  <c r="AZ130" i="2"/>
  <c r="AZ128" i="2"/>
  <c r="AZ126" i="2"/>
  <c r="AZ124" i="2"/>
  <c r="AZ122" i="2"/>
  <c r="AZ120" i="2"/>
  <c r="AZ118" i="2"/>
  <c r="AZ87" i="2"/>
  <c r="AZ85" i="2"/>
  <c r="AZ83" i="2"/>
  <c r="AZ81" i="2"/>
  <c r="AZ79" i="2"/>
  <c r="AZ77" i="2"/>
  <c r="AZ424" i="2"/>
  <c r="AZ351" i="2"/>
  <c r="AZ313" i="2"/>
  <c r="AZ245" i="2"/>
  <c r="AZ229" i="2"/>
  <c r="AZ264" i="2"/>
  <c r="AZ251" i="2"/>
  <c r="AZ231" i="2"/>
  <c r="AZ209" i="2"/>
  <c r="AZ200" i="2"/>
  <c r="AZ198" i="2"/>
  <c r="AZ196" i="2"/>
  <c r="AZ194" i="2"/>
  <c r="AZ192" i="2"/>
  <c r="AZ161" i="2"/>
  <c r="AZ159" i="2"/>
  <c r="AZ157" i="2"/>
  <c r="AZ155" i="2"/>
  <c r="AZ153" i="2"/>
  <c r="AZ112" i="2"/>
  <c r="AZ110" i="2"/>
  <c r="AZ108" i="2"/>
  <c r="AZ106" i="2"/>
  <c r="AZ104" i="2"/>
  <c r="AZ102" i="2"/>
  <c r="AZ100" i="2"/>
  <c r="AZ98" i="2"/>
  <c r="AZ96" i="2"/>
  <c r="AZ94" i="2"/>
  <c r="AZ92" i="2"/>
  <c r="AZ343" i="2"/>
  <c r="AZ320" i="2"/>
  <c r="AZ315" i="2"/>
  <c r="AZ307" i="2"/>
  <c r="AZ295" i="2"/>
  <c r="AZ241" i="2"/>
  <c r="AZ211" i="2"/>
  <c r="AZ202" i="2"/>
  <c r="AZ349" i="2"/>
  <c r="AZ247" i="2"/>
  <c r="AZ235" i="2"/>
  <c r="AZ213" i="2"/>
  <c r="AZ204" i="2"/>
  <c r="AZ188" i="2"/>
  <c r="AZ186" i="2"/>
  <c r="AZ184" i="2"/>
  <c r="AZ182" i="2"/>
  <c r="AZ180" i="2"/>
  <c r="AZ178" i="2"/>
  <c r="AZ176" i="2"/>
  <c r="AZ174" i="2"/>
  <c r="AZ172" i="2"/>
  <c r="AZ170" i="2"/>
  <c r="AZ168" i="2"/>
  <c r="AZ166" i="2"/>
  <c r="AZ149" i="2"/>
  <c r="AZ147" i="2"/>
  <c r="AZ145" i="2"/>
  <c r="AZ143" i="2"/>
  <c r="AZ141" i="2"/>
  <c r="AZ139" i="2"/>
  <c r="AZ137" i="2"/>
  <c r="AZ135" i="2"/>
  <c r="AZ133" i="2"/>
  <c r="AZ131" i="2"/>
  <c r="AZ129" i="2"/>
  <c r="AZ127" i="2"/>
  <c r="AZ125" i="2"/>
  <c r="AZ123" i="2"/>
  <c r="AZ121" i="2"/>
  <c r="AZ119" i="2"/>
  <c r="AZ117" i="2"/>
  <c r="AZ88" i="2"/>
  <c r="AZ86" i="2"/>
  <c r="AZ84" i="2"/>
  <c r="AZ82" i="2"/>
  <c r="AZ80" i="2"/>
  <c r="AZ78" i="2"/>
  <c r="AZ76" i="2"/>
  <c r="AZ158" i="2"/>
  <c r="AZ69" i="2"/>
  <c r="AZ67" i="2"/>
  <c r="AZ65" i="2"/>
  <c r="AZ40" i="2"/>
  <c r="AZ38" i="2"/>
  <c r="AZ36" i="2"/>
  <c r="AZ34" i="2"/>
  <c r="AZ32" i="2"/>
  <c r="AZ30" i="2"/>
  <c r="AZ458" i="2"/>
  <c r="AZ423" i="2"/>
  <c r="AZ160" i="2"/>
  <c r="AZ162" i="2"/>
  <c r="AZ74" i="2"/>
  <c r="AZ61" i="2"/>
  <c r="AZ59" i="2"/>
  <c r="AZ57" i="2"/>
  <c r="AZ55" i="2"/>
  <c r="AZ53" i="2"/>
  <c r="AZ51" i="2"/>
  <c r="AZ49" i="2"/>
  <c r="AZ47" i="2"/>
  <c r="AZ45" i="2"/>
  <c r="AZ309" i="2"/>
  <c r="AZ217" i="2"/>
  <c r="AZ113" i="2"/>
  <c r="AZ109" i="2"/>
  <c r="AZ105" i="2"/>
  <c r="AZ101" i="2"/>
  <c r="AZ97" i="2"/>
  <c r="AZ93" i="2"/>
  <c r="AZ258" i="2"/>
  <c r="AZ215" i="2"/>
  <c r="AZ237" i="2"/>
  <c r="AZ197" i="2"/>
  <c r="AZ195" i="2"/>
  <c r="AZ193" i="2"/>
  <c r="AZ154" i="2"/>
  <c r="AZ75" i="2"/>
  <c r="AZ60" i="2"/>
  <c r="AZ58" i="2"/>
  <c r="AZ56" i="2"/>
  <c r="AZ54" i="2"/>
  <c r="AZ52" i="2"/>
  <c r="AZ50" i="2"/>
  <c r="AZ48" i="2"/>
  <c r="AZ46" i="2"/>
  <c r="AZ103" i="2"/>
  <c r="AZ33" i="2"/>
  <c r="AZ26" i="2"/>
  <c r="AZ107" i="2"/>
  <c r="AZ35" i="2"/>
  <c r="AZ31" i="2"/>
  <c r="AZ22" i="2"/>
  <c r="AZ20" i="2"/>
  <c r="AZ18" i="2"/>
  <c r="AZ243" i="2"/>
  <c r="AZ111" i="2"/>
  <c r="AZ99" i="2"/>
  <c r="AZ66" i="2"/>
  <c r="AZ28" i="2"/>
  <c r="AZ27" i="2"/>
  <c r="AZ389" i="2"/>
  <c r="AZ68" i="2"/>
  <c r="AZ37" i="2"/>
  <c r="AZ29" i="2"/>
  <c r="AZ70" i="2"/>
  <c r="AZ39" i="2"/>
  <c r="AZ21" i="2"/>
  <c r="AZ19" i="2"/>
  <c r="AZ17" i="2"/>
  <c r="AZ41" i="2"/>
  <c r="AZ253" i="2"/>
  <c r="AZ156" i="2"/>
  <c r="AZ95" i="2"/>
  <c r="L25" i="4"/>
  <c r="X255" i="2" s="1"/>
  <c r="Y255" i="2" s="1"/>
  <c r="H255" i="3" s="1"/>
  <c r="R10" i="4"/>
  <c r="Z15" i="2"/>
  <c r="L23" i="4"/>
  <c r="X207" i="2" s="1"/>
  <c r="Y207" i="2" s="1"/>
  <c r="H207" i="3" s="1"/>
  <c r="L34" i="4"/>
  <c r="X397" i="2" s="1"/>
  <c r="Y397" i="2" s="1"/>
  <c r="H397" i="3" s="1"/>
  <c r="L28" i="4"/>
  <c r="X304" i="2" s="1"/>
  <c r="Y304" i="2" s="1"/>
  <c r="H304" i="3" s="1"/>
  <c r="L22" i="4"/>
  <c r="X190" i="2" s="1"/>
  <c r="Y190" i="2" s="1"/>
  <c r="H190" i="3" s="1"/>
  <c r="L51" i="4"/>
  <c r="X706" i="2" s="1"/>
  <c r="Y706" i="2" s="1"/>
  <c r="H706" i="3" s="1"/>
  <c r="L20" i="4"/>
  <c r="X151" i="2" s="1"/>
  <c r="Y151" i="2" s="1"/>
  <c r="H151" i="3" s="1"/>
  <c r="L52" i="4"/>
  <c r="X719" i="2" s="1"/>
  <c r="Y719" i="2" s="1"/>
  <c r="H719" i="3" s="1"/>
  <c r="L31" i="4"/>
  <c r="X341" i="2" s="1"/>
  <c r="Y341" i="2" s="1"/>
  <c r="H341" i="3" s="1"/>
  <c r="L45" i="4"/>
  <c r="X602" i="2" s="1"/>
  <c r="Y602" i="2" s="1"/>
  <c r="H602" i="3" s="1"/>
  <c r="L21" i="4"/>
  <c r="X164" i="2" s="1"/>
  <c r="Y164" i="2" s="1"/>
  <c r="H164" i="3" s="1"/>
  <c r="L46" i="4"/>
  <c r="X610" i="2" s="1"/>
  <c r="Y610" i="2" s="1"/>
  <c r="H610" i="3" s="1"/>
  <c r="T192" i="2"/>
  <c r="L26" i="4"/>
  <c r="X267" i="2" s="1"/>
  <c r="Y267" i="2" s="1"/>
  <c r="H267" i="3" s="1"/>
  <c r="L24" i="4"/>
  <c r="X222" i="2" s="1"/>
  <c r="Y222" i="2" s="1"/>
  <c r="H222" i="3" s="1"/>
  <c r="L53" i="4"/>
  <c r="X760" i="2" s="1"/>
  <c r="Y760" i="2" s="1"/>
  <c r="H760" i="3" s="1"/>
  <c r="L16" i="4"/>
  <c r="X63" i="2" s="1"/>
  <c r="Y63" i="2" s="1"/>
  <c r="H63" i="3" s="1"/>
  <c r="L40" i="4"/>
  <c r="X513" i="2" s="1"/>
  <c r="Y513" i="2" s="1"/>
  <c r="H513" i="3" s="1"/>
  <c r="L14" i="4"/>
  <c r="X24" i="2" s="1"/>
  <c r="Y24" i="2" s="1"/>
  <c r="H24" i="3" s="1"/>
  <c r="AB11" i="2"/>
  <c r="AC15" i="2"/>
  <c r="L19" i="4"/>
  <c r="X115" i="2" s="1"/>
  <c r="Y115" i="2" s="1"/>
  <c r="H115" i="3" s="1"/>
  <c r="L41" i="4"/>
  <c r="X530" i="2" s="1"/>
  <c r="Y530" i="2" s="1"/>
  <c r="H530" i="3" s="1"/>
  <c r="T161" i="2" l="1"/>
  <c r="T97" i="2"/>
  <c r="T201" i="2"/>
  <c r="T56" i="2"/>
  <c r="T103" i="2"/>
  <c r="T184" i="2"/>
  <c r="T298" i="2"/>
  <c r="T331" i="2"/>
  <c r="Q638" i="2"/>
  <c r="Q159" i="2"/>
  <c r="Q406" i="2"/>
  <c r="Q573" i="2"/>
  <c r="Q605" i="2"/>
  <c r="Q123" i="2"/>
  <c r="Q125" i="2"/>
  <c r="T66" i="2"/>
  <c r="T409" i="2"/>
  <c r="T68" i="2"/>
  <c r="T371" i="2"/>
  <c r="T185" i="2"/>
  <c r="T710" i="2"/>
  <c r="T659" i="2"/>
  <c r="T628" i="2"/>
  <c r="T619" i="2"/>
  <c r="T488" i="2"/>
  <c r="T532" i="2"/>
  <c r="T559" i="2"/>
  <c r="T626" i="2"/>
  <c r="T369" i="2"/>
  <c r="T386" i="2"/>
  <c r="T580" i="2"/>
  <c r="T384" i="2"/>
  <c r="T284" i="2"/>
  <c r="T243" i="2"/>
  <c r="T411" i="2"/>
  <c r="T299" i="2"/>
  <c r="T368" i="2"/>
  <c r="T227" i="2"/>
  <c r="T378" i="2"/>
  <c r="T219" i="2"/>
  <c r="T339" i="2"/>
  <c r="T232" i="2"/>
  <c r="T178" i="2"/>
  <c r="T137" i="2"/>
  <c r="T84" i="2"/>
  <c r="T216" i="2"/>
  <c r="T162" i="2"/>
  <c r="T107" i="2"/>
  <c r="T399" i="2"/>
  <c r="T226" i="2"/>
  <c r="T173" i="2"/>
  <c r="T140" i="2"/>
  <c r="T124" i="2"/>
  <c r="T79" i="2"/>
  <c r="T70" i="2"/>
  <c r="T31" i="2"/>
  <c r="T48" i="2"/>
  <c r="T199" i="2"/>
  <c r="T53" i="2"/>
  <c r="T112" i="2"/>
  <c r="T27" i="2"/>
  <c r="T28" i="2"/>
  <c r="T29" i="2"/>
  <c r="T715" i="2"/>
  <c r="T691" i="2"/>
  <c r="T657" i="2"/>
  <c r="T616" i="2"/>
  <c r="T592" i="2"/>
  <c r="T478" i="2"/>
  <c r="T464" i="2"/>
  <c r="T555" i="2"/>
  <c r="T574" i="2"/>
  <c r="T577" i="2"/>
  <c r="T471" i="2"/>
  <c r="T437" i="2"/>
  <c r="T357" i="2"/>
  <c r="T280" i="2"/>
  <c r="T241" i="2"/>
  <c r="T360" i="2"/>
  <c r="T295" i="2"/>
  <c r="T314" i="2"/>
  <c r="T204" i="2"/>
  <c r="T370" i="2"/>
  <c r="T217" i="2"/>
  <c r="T335" i="2"/>
  <c r="T203" i="2"/>
  <c r="T174" i="2"/>
  <c r="T135" i="2"/>
  <c r="T82" i="2"/>
  <c r="T325" i="2"/>
  <c r="T160" i="2"/>
  <c r="T105" i="2"/>
  <c r="T346" i="2"/>
  <c r="T187" i="2"/>
  <c r="T171" i="2"/>
  <c r="T138" i="2"/>
  <c r="T752" i="2"/>
  <c r="T727" i="2"/>
  <c r="T651" i="2"/>
  <c r="T556" i="2"/>
  <c r="T567" i="2"/>
  <c r="T604" i="2"/>
  <c r="T416" i="2"/>
  <c r="T390" i="2"/>
  <c r="T388" i="2"/>
  <c r="T334" i="2"/>
  <c r="T253" i="2"/>
  <c r="T425" i="2"/>
  <c r="T264" i="2"/>
  <c r="T257" i="2"/>
  <c r="T455" i="2"/>
  <c r="T211" i="2"/>
  <c r="T438" i="2"/>
  <c r="T182" i="2"/>
  <c r="T127" i="2"/>
  <c r="T300" i="2"/>
  <c r="T193" i="2"/>
  <c r="T101" i="2"/>
  <c r="T283" i="2"/>
  <c r="T175" i="2"/>
  <c r="T134" i="2"/>
  <c r="T87" i="2"/>
  <c r="T102" i="2"/>
  <c r="T35" i="2"/>
  <c r="T50" i="2"/>
  <c r="T157" i="2"/>
  <c r="T49" i="2"/>
  <c r="T19" i="2"/>
  <c r="T34" i="2"/>
  <c r="T155" i="2"/>
  <c r="T750" i="2"/>
  <c r="T708" i="2"/>
  <c r="T614" i="2"/>
  <c r="T554" i="2"/>
  <c r="T544" i="2"/>
  <c r="T553" i="2"/>
  <c r="T412" i="2"/>
  <c r="T380" i="2"/>
  <c r="T431" i="2"/>
  <c r="T315" i="2"/>
  <c r="T249" i="2"/>
  <c r="T349" i="2"/>
  <c r="T260" i="2"/>
  <c r="T233" i="2"/>
  <c r="T323" i="2"/>
  <c r="T435" i="2"/>
  <c r="T327" i="2"/>
  <c r="T172" i="2"/>
  <c r="T125" i="2"/>
  <c r="T281" i="2"/>
  <c r="T158" i="2"/>
  <c r="T99" i="2"/>
  <c r="T234" i="2"/>
  <c r="T169" i="2"/>
  <c r="T132" i="2"/>
  <c r="T85" i="2"/>
  <c r="T98" i="2"/>
  <c r="T33" i="2"/>
  <c r="T46" i="2"/>
  <c r="T159" i="2"/>
  <c r="T47" i="2"/>
  <c r="T17" i="2"/>
  <c r="T26" i="2"/>
  <c r="T96" i="2"/>
  <c r="T740" i="2"/>
  <c r="T692" i="2"/>
  <c r="T593" i="2"/>
  <c r="T517" i="2"/>
  <c r="T542" i="2"/>
  <c r="T687" i="2"/>
  <c r="T686" i="2"/>
  <c r="T704" i="2"/>
  <c r="T518" i="2"/>
  <c r="T627" i="2"/>
  <c r="T401" i="2"/>
  <c r="T309" i="2"/>
  <c r="T426" i="2"/>
  <c r="T291" i="2"/>
  <c r="T202" i="2"/>
  <c r="T244" i="2"/>
  <c r="T459" i="2"/>
  <c r="T166" i="2"/>
  <c r="T78" i="2"/>
  <c r="T195" i="2"/>
  <c r="T95" i="2"/>
  <c r="T181" i="2"/>
  <c r="T136" i="2"/>
  <c r="T81" i="2"/>
  <c r="T41" i="2"/>
  <c r="T52" i="2"/>
  <c r="T61" i="2"/>
  <c r="T263" i="2"/>
  <c r="T40" i="2"/>
  <c r="T22" i="2"/>
  <c r="T767" i="2"/>
  <c r="T682" i="2"/>
  <c r="T639" i="2"/>
  <c r="T487" i="2"/>
  <c r="T533" i="2"/>
  <c r="T394" i="2"/>
  <c r="T307" i="2"/>
  <c r="T383" i="2"/>
  <c r="T258" i="2"/>
  <c r="T635" i="2"/>
  <c r="T240" i="2"/>
  <c r="T269" i="2"/>
  <c r="T147" i="2"/>
  <c r="T76" i="2"/>
  <c r="T156" i="2"/>
  <c r="T93" i="2"/>
  <c r="T179" i="2"/>
  <c r="T130" i="2"/>
  <c r="T77" i="2"/>
  <c r="T39" i="2"/>
  <c r="T407" i="2"/>
  <c r="T59" i="2"/>
  <c r="T67" i="2"/>
  <c r="T92" i="2"/>
  <c r="T20" i="2"/>
  <c r="T741" i="2"/>
  <c r="T716" i="2"/>
  <c r="T460" i="2"/>
  <c r="T485" i="2"/>
  <c r="T649" i="2"/>
  <c r="T446" i="2"/>
  <c r="T278" i="2"/>
  <c r="T650" i="2"/>
  <c r="T379" i="2"/>
  <c r="T352" i="2"/>
  <c r="T213" i="2"/>
  <c r="T366" i="2"/>
  <c r="T143" i="2"/>
  <c r="T356" i="2"/>
  <c r="T154" i="2"/>
  <c r="T277" i="2"/>
  <c r="T177" i="2"/>
  <c r="T128" i="2"/>
  <c r="T279" i="2"/>
  <c r="T37" i="2"/>
  <c r="T210" i="2"/>
  <c r="T57" i="2"/>
  <c r="T21" i="2"/>
  <c r="T32" i="2"/>
  <c r="T18" i="2"/>
  <c r="T656" i="2"/>
  <c r="T755" i="2"/>
  <c r="T458" i="2"/>
  <c r="T475" i="2"/>
  <c r="T424" i="2"/>
  <c r="T433" i="2"/>
  <c r="T274" i="2"/>
  <c r="T347" i="2"/>
  <c r="T374" i="2"/>
  <c r="T302" i="2"/>
  <c r="T296" i="2"/>
  <c r="T261" i="2"/>
  <c r="T141" i="2"/>
  <c r="T236" i="2"/>
  <c r="T113" i="2"/>
  <c r="T224" i="2"/>
  <c r="T167" i="2"/>
  <c r="T126" i="2"/>
  <c r="T110" i="2"/>
  <c r="T75" i="2"/>
  <c r="T153" i="2"/>
  <c r="T55" i="2"/>
  <c r="T69" i="2"/>
  <c r="T198" i="2"/>
  <c r="T30" i="2"/>
  <c r="T640" i="2"/>
  <c r="T560" i="2"/>
  <c r="T675" i="2"/>
  <c r="T617" i="2"/>
  <c r="T391" i="2"/>
  <c r="T427" i="2"/>
  <c r="T272" i="2"/>
  <c r="T343" i="2"/>
  <c r="T312" i="2"/>
  <c r="T698" i="2"/>
  <c r="T381" i="2"/>
  <c r="T205" i="2"/>
  <c r="T131" i="2"/>
  <c r="T292" i="2"/>
  <c r="T111" i="2"/>
  <c r="T220" i="2"/>
  <c r="T148" i="2"/>
  <c r="T122" i="2"/>
  <c r="T106" i="2"/>
  <c r="T60" i="2"/>
  <c r="T319" i="2"/>
  <c r="T51" i="2"/>
  <c r="T38" i="2"/>
  <c r="T196" i="2"/>
  <c r="T100" i="2"/>
  <c r="T756" i="2"/>
  <c r="T743" i="2"/>
  <c r="T494" i="2"/>
  <c r="T621" i="2"/>
  <c r="T410" i="2"/>
  <c r="T387" i="2"/>
  <c r="T393" i="2"/>
  <c r="T247" i="2"/>
  <c r="T324" i="2"/>
  <c r="T308" i="2"/>
  <c r="T252" i="2"/>
  <c r="T348" i="2"/>
  <c r="T188" i="2"/>
  <c r="T121" i="2"/>
  <c r="T271" i="2"/>
  <c r="T109" i="2"/>
  <c r="T228" i="2"/>
  <c r="T146" i="2"/>
  <c r="T120" i="2"/>
  <c r="T94" i="2"/>
  <c r="T58" i="2"/>
  <c r="T273" i="2"/>
  <c r="T45" i="2"/>
  <c r="T104" i="2"/>
  <c r="T194" i="2"/>
  <c r="T736" i="2"/>
  <c r="T700" i="2"/>
  <c r="T490" i="2"/>
  <c r="T598" i="2"/>
  <c r="T400" i="2"/>
  <c r="T372" i="2"/>
  <c r="T338" i="2"/>
  <c r="T237" i="2"/>
  <c r="T322" i="2"/>
  <c r="T265" i="2"/>
  <c r="T250" i="2"/>
  <c r="T65" i="2"/>
  <c r="T197" i="2"/>
  <c r="T703" i="2"/>
  <c r="T108" i="2"/>
  <c r="T218" i="2"/>
  <c r="T231" i="2"/>
  <c r="T676" i="2"/>
  <c r="T142" i="2"/>
  <c r="T769" i="2"/>
  <c r="T230" i="2"/>
  <c r="T144" i="2"/>
  <c r="T119" i="2"/>
  <c r="T429" i="2"/>
  <c r="T83" i="2"/>
  <c r="T246" i="2"/>
  <c r="T118" i="2"/>
  <c r="T74" i="2"/>
  <c r="T88" i="2"/>
  <c r="T301" i="2"/>
  <c r="T36" i="2"/>
  <c r="T54" i="2"/>
  <c r="T183" i="2"/>
  <c r="T168" i="2"/>
  <c r="T313" i="2"/>
  <c r="Q586" i="2"/>
  <c r="Q404" i="2"/>
  <c r="Q279" i="2"/>
  <c r="Q97" i="2"/>
  <c r="V97" i="2" s="1"/>
  <c r="Q575" i="2"/>
  <c r="Q413" i="2"/>
  <c r="Q370" i="2"/>
  <c r="Q68" i="2"/>
  <c r="Q594" i="2"/>
  <c r="Q384" i="2"/>
  <c r="Q66" i="2"/>
  <c r="Q395" i="2"/>
  <c r="Q281" i="2"/>
  <c r="Q83" i="2"/>
  <c r="Q685" i="2"/>
  <c r="Q238" i="2"/>
  <c r="Q67" i="2"/>
  <c r="Q427" i="2"/>
  <c r="Q702" i="2"/>
  <c r="Q74" i="2"/>
  <c r="Q327" i="2"/>
  <c r="Q691" i="2"/>
  <c r="AX667" i="2"/>
  <c r="AX741" i="2"/>
  <c r="AX690" i="2"/>
  <c r="Q49" i="2"/>
  <c r="Q469" i="2"/>
  <c r="Q154" i="2"/>
  <c r="Q551" i="2"/>
  <c r="AS577" i="2"/>
  <c r="T772" i="2"/>
  <c r="T713" i="2"/>
  <c r="T748" i="2"/>
  <c r="T732" i="2"/>
  <c r="T699" i="2"/>
  <c r="T757" i="2"/>
  <c r="T725" i="2"/>
  <c r="T690" i="2"/>
  <c r="T771" i="2"/>
  <c r="T638" i="2"/>
  <c r="J638" i="2" s="1"/>
  <c r="H638" i="2" s="1"/>
  <c r="G638" i="3" s="1"/>
  <c r="K638" i="3" s="1"/>
  <c r="T668" i="2"/>
  <c r="T671" i="2"/>
  <c r="T612" i="2"/>
  <c r="T677" i="2"/>
  <c r="T646" i="2"/>
  <c r="T585" i="2"/>
  <c r="T552" i="2"/>
  <c r="T515" i="2"/>
  <c r="T486" i="2"/>
  <c r="T624" i="2"/>
  <c r="T607" i="2"/>
  <c r="T540" i="2"/>
  <c r="T505" i="2"/>
  <c r="T456" i="2"/>
  <c r="T582" i="2"/>
  <c r="T600" i="2"/>
  <c r="T551" i="2"/>
  <c r="T499" i="2"/>
  <c r="T483" i="2"/>
  <c r="T539" i="2"/>
  <c r="T463" i="2"/>
  <c r="T408" i="2"/>
  <c r="T367" i="2"/>
  <c r="T535" i="2"/>
  <c r="T504" i="2"/>
  <c r="T541" i="2"/>
  <c r="T684" i="2"/>
  <c r="T382" i="2"/>
  <c r="T392" i="2"/>
  <c r="T571" i="2"/>
  <c r="T362" i="2"/>
  <c r="T311" i="2"/>
  <c r="T276" i="2"/>
  <c r="T245" i="2"/>
  <c r="T423" i="2"/>
  <c r="T351" i="2"/>
  <c r="T320" i="2"/>
  <c r="T262" i="2"/>
  <c r="T321" i="2"/>
  <c r="T235" i="2"/>
  <c r="T200" i="2"/>
  <c r="T389" i="2"/>
  <c r="T248" i="2"/>
  <c r="T215" i="2"/>
  <c r="T364" i="2"/>
  <c r="T290" i="2"/>
  <c r="T212" i="2"/>
  <c r="T186" i="2"/>
  <c r="T170" i="2"/>
  <c r="T139" i="2"/>
  <c r="T123" i="2"/>
  <c r="T80" i="2"/>
  <c r="T770" i="2"/>
  <c r="T711" i="2"/>
  <c r="T746" i="2"/>
  <c r="T730" i="2"/>
  <c r="T697" i="2"/>
  <c r="T753" i="2"/>
  <c r="T721" i="2"/>
  <c r="T672" i="2"/>
  <c r="T747" i="2"/>
  <c r="T636" i="2"/>
  <c r="T683" i="2"/>
  <c r="T648" i="2"/>
  <c r="T599" i="2"/>
  <c r="T655" i="2"/>
  <c r="T641" i="2"/>
  <c r="T578" i="2"/>
  <c r="T550" i="2"/>
  <c r="T500" i="2"/>
  <c r="T484" i="2"/>
  <c r="T605" i="2"/>
  <c r="T596" i="2"/>
  <c r="T538" i="2"/>
  <c r="T470" i="2"/>
  <c r="T454" i="2"/>
  <c r="T576" i="2"/>
  <c r="T584" i="2"/>
  <c r="T528" i="2"/>
  <c r="T497" i="2"/>
  <c r="T481" i="2"/>
  <c r="T465" i="2"/>
  <c r="T445" i="2"/>
  <c r="T406" i="2"/>
  <c r="T365" i="2"/>
  <c r="T508" i="2"/>
  <c r="T615" i="2"/>
  <c r="T447" i="2"/>
  <c r="T608" i="2"/>
  <c r="T768" i="2"/>
  <c r="T709" i="2"/>
  <c r="T744" i="2"/>
  <c r="T728" i="2"/>
  <c r="T695" i="2"/>
  <c r="T749" i="2"/>
  <c r="T773" i="2"/>
  <c r="T664" i="2"/>
  <c r="T701" i="2"/>
  <c r="T634" i="2"/>
  <c r="T678" i="2"/>
  <c r="T625" i="2"/>
  <c r="T597" i="2"/>
  <c r="T637" i="2"/>
  <c r="T623" i="2"/>
  <c r="T575" i="2"/>
  <c r="T527" i="2"/>
  <c r="T498" i="2"/>
  <c r="T482" i="2"/>
  <c r="T594" i="2"/>
  <c r="T579" i="2"/>
  <c r="T536" i="2"/>
  <c r="T468" i="2"/>
  <c r="T452" i="2"/>
  <c r="T573" i="2"/>
  <c r="T570" i="2"/>
  <c r="T526" i="2"/>
  <c r="T495" i="2"/>
  <c r="T479" i="2"/>
  <c r="T448" i="2"/>
  <c r="T443" i="2"/>
  <c r="T404" i="2"/>
  <c r="T363" i="2"/>
  <c r="T461" i="2"/>
  <c r="T413" i="2"/>
  <c r="T442" i="2"/>
  <c r="T586" i="2"/>
  <c r="T766" i="2"/>
  <c r="T758" i="2"/>
  <c r="T742" i="2"/>
  <c r="T726" i="2"/>
  <c r="T693" i="2"/>
  <c r="T745" i="2"/>
  <c r="T765" i="2"/>
  <c r="T660" i="2"/>
  <c r="T694" i="2"/>
  <c r="T632" i="2"/>
  <c r="T654" i="2"/>
  <c r="T622" i="2"/>
  <c r="T595" i="2"/>
  <c r="T723" i="2"/>
  <c r="T763" i="2"/>
  <c r="T562" i="2"/>
  <c r="T525" i="2"/>
  <c r="T496" i="2"/>
  <c r="T480" i="2"/>
  <c r="T587" i="2"/>
  <c r="T569" i="2"/>
  <c r="T534" i="2"/>
  <c r="T466" i="2"/>
  <c r="T751" i="2"/>
  <c r="T735" i="2"/>
  <c r="T561" i="2"/>
  <c r="T524" i="2"/>
  <c r="T493" i="2"/>
  <c r="T477" i="2"/>
  <c r="T696" i="2"/>
  <c r="T418" i="2"/>
  <c r="T402" i="2"/>
  <c r="T361" i="2"/>
  <c r="T453" i="2"/>
  <c r="T405" i="2"/>
  <c r="T436" i="2"/>
  <c r="T545" i="2"/>
  <c r="T469" i="2"/>
  <c r="T543" i="2"/>
  <c r="T430" i="2"/>
  <c r="T336" i="2"/>
  <c r="T286" i="2"/>
  <c r="J286" i="2" s="1"/>
  <c r="H286" i="2" s="1"/>
  <c r="G286" i="3" s="1"/>
  <c r="K286" i="3" s="1"/>
  <c r="T270" i="2"/>
  <c r="T239" i="2"/>
  <c r="T568" i="2"/>
  <c r="T345" i="2"/>
  <c r="T297" i="2"/>
  <c r="T506" i="2"/>
  <c r="T310" i="2"/>
  <c r="T229" i="2"/>
  <c r="T344" i="2"/>
  <c r="T358" i="2"/>
  <c r="T242" i="2"/>
  <c r="T209" i="2"/>
  <c r="T337" i="2"/>
  <c r="T403" i="2"/>
  <c r="T275" i="2"/>
  <c r="T180" i="2"/>
  <c r="T149" i="2"/>
  <c r="T133" i="2"/>
  <c r="T117" i="2"/>
  <c r="T762" i="2"/>
  <c r="T754" i="2"/>
  <c r="T738" i="2"/>
  <c r="T722" i="2"/>
  <c r="T689" i="2"/>
  <c r="T737" i="2"/>
  <c r="T714" i="2"/>
  <c r="T658" i="2"/>
  <c r="T665" i="2"/>
  <c r="T712" i="2"/>
  <c r="T633" i="2"/>
  <c r="T618" i="2"/>
  <c r="T591" i="2"/>
  <c r="T702" i="2"/>
  <c r="T688" i="2"/>
  <c r="T558" i="2"/>
  <c r="T521" i="2"/>
  <c r="T492" i="2"/>
  <c r="T476" i="2"/>
  <c r="T731" i="2"/>
  <c r="T546" i="2"/>
  <c r="T511" i="2"/>
  <c r="T462" i="2"/>
  <c r="T653" i="2"/>
  <c r="T666" i="2"/>
  <c r="T557" i="2"/>
  <c r="T520" i="2"/>
  <c r="T489" i="2"/>
  <c r="T647" i="2"/>
  <c r="T566" i="2"/>
  <c r="T414" i="2"/>
  <c r="T373" i="2"/>
  <c r="T613" i="2"/>
  <c r="T583" i="2"/>
  <c r="T385" i="2"/>
  <c r="T428" i="2"/>
  <c r="T457" i="2"/>
  <c r="T417" i="2"/>
  <c r="T434" i="2"/>
  <c r="T419" i="2"/>
  <c r="T332" i="2"/>
  <c r="T282" i="2"/>
  <c r="T251" i="2"/>
  <c r="T444" i="2"/>
  <c r="T415" i="2"/>
  <c r="T326" i="2"/>
  <c r="T293" i="2"/>
  <c r="T395" i="2"/>
  <c r="T306" i="2"/>
  <c r="T225" i="2"/>
  <c r="T294" i="2"/>
  <c r="T259" i="2"/>
  <c r="T238" i="2"/>
  <c r="T350" i="2"/>
  <c r="T333" i="2"/>
  <c r="T285" i="2"/>
  <c r="T214" i="2"/>
  <c r="T176" i="2"/>
  <c r="T145" i="2"/>
  <c r="T129" i="2"/>
  <c r="T86" i="2"/>
  <c r="T467" i="2"/>
  <c r="T432" i="2"/>
  <c r="T606" i="2"/>
  <c r="T510" i="2"/>
  <c r="T491" i="2"/>
  <c r="T652" i="2"/>
  <c r="T507" i="2"/>
  <c r="T572" i="2"/>
  <c r="T519" i="2"/>
  <c r="T670" i="2"/>
  <c r="T620" i="2"/>
  <c r="T642" i="2"/>
  <c r="T729" i="2"/>
  <c r="T724" i="2"/>
  <c r="T717" i="2"/>
  <c r="T739" i="2"/>
  <c r="T581" i="2"/>
  <c r="T359" i="2"/>
  <c r="T537" i="2"/>
  <c r="T516" i="2"/>
  <c r="T667" i="2"/>
  <c r="T509" i="2"/>
  <c r="T669" i="2"/>
  <c r="T523" i="2"/>
  <c r="T685" i="2"/>
  <c r="T674" i="2"/>
  <c r="T673" i="2"/>
  <c r="T733" i="2"/>
  <c r="T734" i="2"/>
  <c r="T764" i="2"/>
  <c r="AS293" i="2"/>
  <c r="AS560" i="2"/>
  <c r="AS82" i="2"/>
  <c r="AS184" i="2"/>
  <c r="AS352" i="2"/>
  <c r="AS21" i="2"/>
  <c r="AS648" i="2"/>
  <c r="AS126" i="2"/>
  <c r="AS540" i="2"/>
  <c r="AS183" i="2"/>
  <c r="AS322" i="2"/>
  <c r="AS400" i="2"/>
  <c r="AS327" i="2"/>
  <c r="AS488" i="2"/>
  <c r="AS144" i="2"/>
  <c r="AS226" i="2"/>
  <c r="AS686" i="2"/>
  <c r="AS117" i="2"/>
  <c r="AS736" i="2"/>
  <c r="AS717" i="2"/>
  <c r="AS132" i="2"/>
  <c r="AS228" i="2"/>
  <c r="AS407" i="2"/>
  <c r="AS576" i="2"/>
  <c r="AS277" i="2"/>
  <c r="AS298" i="2"/>
  <c r="AS725" i="2"/>
  <c r="AS406" i="2"/>
  <c r="AS670" i="2"/>
  <c r="AS516" i="2"/>
  <c r="AS657" i="2"/>
  <c r="AS41" i="2"/>
  <c r="AS93" i="2"/>
  <c r="AS726" i="2"/>
  <c r="AS454" i="2"/>
  <c r="AS769" i="2"/>
  <c r="AS416" i="2"/>
  <c r="AS186" i="2"/>
  <c r="AS309" i="2"/>
  <c r="AS731" i="2"/>
  <c r="AS368" i="2"/>
  <c r="AS607" i="2"/>
  <c r="AS308" i="2"/>
  <c r="AS382" i="2"/>
  <c r="AS81" i="2"/>
  <c r="AS741" i="2"/>
  <c r="AS432" i="2"/>
  <c r="AS569" i="2"/>
  <c r="AS149" i="2"/>
  <c r="AS338" i="2"/>
  <c r="AS381" i="2"/>
  <c r="AS647" i="2"/>
  <c r="AS684" i="2"/>
  <c r="AS654" i="2"/>
  <c r="AS668" i="2"/>
  <c r="AS584" i="2"/>
  <c r="AS673" i="2"/>
  <c r="AS173" i="2"/>
  <c r="AS511" i="2"/>
  <c r="AS733" i="2"/>
  <c r="AS480" i="2"/>
  <c r="AS561" i="2"/>
  <c r="AS297" i="2"/>
  <c r="AS386" i="2"/>
  <c r="AS247" i="2"/>
  <c r="AS544" i="2"/>
  <c r="AS658" i="2"/>
  <c r="AS86" i="2"/>
  <c r="AS95" i="2"/>
  <c r="AS225" i="2"/>
  <c r="AS467" i="2"/>
  <c r="AS464" i="2"/>
  <c r="AS128" i="2"/>
  <c r="N341" i="2"/>
  <c r="BA39" i="2"/>
  <c r="BA66" i="2"/>
  <c r="BA35" i="2"/>
  <c r="BA52" i="2"/>
  <c r="BA195" i="2"/>
  <c r="BA105" i="2"/>
  <c r="BA51" i="2"/>
  <c r="BA160" i="2"/>
  <c r="BA40" i="2"/>
  <c r="BA82" i="2"/>
  <c r="BA125" i="2"/>
  <c r="BA141" i="2"/>
  <c r="BA172" i="2"/>
  <c r="BA188" i="2"/>
  <c r="BA241" i="2"/>
  <c r="BA96" i="2"/>
  <c r="BA112" i="2"/>
  <c r="BA196" i="2"/>
  <c r="BA245" i="2"/>
  <c r="BA85" i="2"/>
  <c r="BA130" i="2"/>
  <c r="BA146" i="2"/>
  <c r="BA179" i="2"/>
  <c r="BA322" i="2"/>
  <c r="BA280" i="2"/>
  <c r="BA210" i="2"/>
  <c r="BA345" i="2"/>
  <c r="BA425" i="2"/>
  <c r="BA228" i="2"/>
  <c r="BA363" i="2"/>
  <c r="BA466" i="2"/>
  <c r="BA294" i="2"/>
  <c r="BA325" i="2"/>
  <c r="BA385" i="2"/>
  <c r="BA394" i="2"/>
  <c r="BA246" i="2"/>
  <c r="BA277" i="2"/>
  <c r="BA312" i="2"/>
  <c r="BA358" i="2"/>
  <c r="BA509" i="2"/>
  <c r="BA383" i="2"/>
  <c r="N662" i="2"/>
  <c r="N473" i="2"/>
  <c r="N63" i="2"/>
  <c r="N644" i="2"/>
  <c r="N502" i="2"/>
  <c r="Q766" i="2"/>
  <c r="Q758" i="2"/>
  <c r="J758" i="2" s="1"/>
  <c r="H758" i="2" s="1"/>
  <c r="G758" i="3" s="1"/>
  <c r="K758" i="3" s="1"/>
  <c r="Q742" i="2"/>
  <c r="Q726" i="2"/>
  <c r="Q762" i="2"/>
  <c r="Q754" i="2"/>
  <c r="Q738" i="2"/>
  <c r="Q722" i="2"/>
  <c r="Q716" i="2"/>
  <c r="Q672" i="2"/>
  <c r="Q772" i="2"/>
  <c r="Q709" i="2"/>
  <c r="Q736" i="2"/>
  <c r="Q771" i="2"/>
  <c r="Q708" i="2"/>
  <c r="Q699" i="2"/>
  <c r="Q675" i="2"/>
  <c r="Q654" i="2"/>
  <c r="Q621" i="2"/>
  <c r="Q659" i="2"/>
  <c r="Q688" i="2"/>
  <c r="Q624" i="2"/>
  <c r="Q584" i="2"/>
  <c r="Q743" i="2"/>
  <c r="Q640" i="2"/>
  <c r="Q595" i="2"/>
  <c r="Q585" i="2"/>
  <c r="Q689" i="2"/>
  <c r="Q560" i="2"/>
  <c r="Q523" i="2"/>
  <c r="Q494" i="2"/>
  <c r="Q478" i="2"/>
  <c r="Q569" i="2"/>
  <c r="Q505" i="2"/>
  <c r="Q434" i="2"/>
  <c r="Q391" i="2"/>
  <c r="Q561" i="2"/>
  <c r="Q448" i="2"/>
  <c r="Q487" i="2"/>
  <c r="Q414" i="2"/>
  <c r="Q373" i="2"/>
  <c r="Q634" i="2"/>
  <c r="Q533" i="2"/>
  <c r="Q520" i="2"/>
  <c r="Q405" i="2"/>
  <c r="Q464" i="2"/>
  <c r="J464" i="2" s="1"/>
  <c r="H464" i="2" s="1"/>
  <c r="G464" i="3" s="1"/>
  <c r="K464" i="3" s="1"/>
  <c r="Q411" i="2"/>
  <c r="Q471" i="2"/>
  <c r="Q364" i="2"/>
  <c r="Q323" i="2"/>
  <c r="Q292" i="2"/>
  <c r="Q508" i="2"/>
  <c r="Q461" i="2"/>
  <c r="Q453" i="2"/>
  <c r="Q360" i="2"/>
  <c r="V360" i="2" s="1"/>
  <c r="Q322" i="2"/>
  <c r="Q264" i="2"/>
  <c r="Q277" i="2"/>
  <c r="Q312" i="2"/>
  <c r="Q227" i="2"/>
  <c r="Q336" i="2"/>
  <c r="Q248" i="2"/>
  <c r="Q215" i="2"/>
  <c r="Q307" i="2"/>
  <c r="Q210" i="2"/>
  <c r="Q157" i="2"/>
  <c r="Q366" i="2"/>
  <c r="Q182" i="2"/>
  <c r="Q166" i="2"/>
  <c r="Q135" i="2"/>
  <c r="Q119" i="2"/>
  <c r="Q475" i="2"/>
  <c r="Q272" i="2"/>
  <c r="Q160" i="2"/>
  <c r="Q105" i="2"/>
  <c r="Q278" i="2"/>
  <c r="Q171" i="2"/>
  <c r="Q110" i="2"/>
  <c r="Q41" i="2"/>
  <c r="Q181" i="2"/>
  <c r="Q75" i="2"/>
  <c r="Q46" i="2"/>
  <c r="Q92" i="2"/>
  <c r="Q34" i="2"/>
  <c r="Q177" i="2"/>
  <c r="Q138" i="2"/>
  <c r="Q140" i="2"/>
  <c r="Q167" i="2"/>
  <c r="Q59" i="2"/>
  <c r="Q770" i="2"/>
  <c r="Q756" i="2"/>
  <c r="Q734" i="2"/>
  <c r="Q769" i="2"/>
  <c r="Q678" i="2"/>
  <c r="Q697" i="2"/>
  <c r="Q673" i="2"/>
  <c r="Q652" i="2"/>
  <c r="Q753" i="2"/>
  <c r="Q658" i="2"/>
  <c r="Q655" i="2"/>
  <c r="Q622" i="2"/>
  <c r="Q582" i="2"/>
  <c r="Q725" i="2"/>
  <c r="Q620" i="2"/>
  <c r="Q593" i="2"/>
  <c r="Q583" i="2"/>
  <c r="Q686" i="2"/>
  <c r="Q558" i="2"/>
  <c r="Q521" i="2"/>
  <c r="Q492" i="2"/>
  <c r="Q476" i="2"/>
  <c r="Q567" i="2"/>
  <c r="Q493" i="2"/>
  <c r="Q432" i="2"/>
  <c r="Q389" i="2"/>
  <c r="Q553" i="2"/>
  <c r="Q696" i="2"/>
  <c r="Q479" i="2"/>
  <c r="Q412" i="2"/>
  <c r="V412" i="2" s="1"/>
  <c r="Q371" i="2"/>
  <c r="Q613" i="2"/>
  <c r="Q506" i="2"/>
  <c r="Q455" i="2"/>
  <c r="Q390" i="2"/>
  <c r="Q462" i="2"/>
  <c r="Q403" i="2"/>
  <c r="Q468" i="2"/>
  <c r="Q352" i="2"/>
  <c r="Q321" i="2"/>
  <c r="Q290" i="2"/>
  <c r="Q431" i="2"/>
  <c r="Q446" i="2"/>
  <c r="Q447" i="2"/>
  <c r="Q351" i="2"/>
  <c r="J351" i="2" s="1"/>
  <c r="H351" i="2" s="1"/>
  <c r="G351" i="3" s="1"/>
  <c r="K351" i="3" s="1"/>
  <c r="Q320" i="2"/>
  <c r="J320" i="2" s="1"/>
  <c r="H320" i="2" s="1"/>
  <c r="G320" i="3" s="1"/>
  <c r="K320" i="3" s="1"/>
  <c r="Q262" i="2"/>
  <c r="J262" i="2" s="1"/>
  <c r="H262" i="2" s="1"/>
  <c r="G262" i="3" s="1"/>
  <c r="K262" i="3" s="1"/>
  <c r="Q275" i="2"/>
  <c r="J275" i="2" s="1"/>
  <c r="H275" i="2" s="1"/>
  <c r="G275" i="3" s="1"/>
  <c r="K275" i="3" s="1"/>
  <c r="Q310" i="2"/>
  <c r="Q225" i="2"/>
  <c r="Q334" i="2"/>
  <c r="Q246" i="2"/>
  <c r="Q213" i="2"/>
  <c r="V213" i="2" s="1"/>
  <c r="Q236" i="2"/>
  <c r="Q201" i="2"/>
  <c r="Q155" i="2"/>
  <c r="Q276" i="2"/>
  <c r="Q180" i="2"/>
  <c r="Q149" i="2"/>
  <c r="Q133" i="2"/>
  <c r="Q117" i="2"/>
  <c r="Q356" i="2"/>
  <c r="Q253" i="2"/>
  <c r="Q158" i="2"/>
  <c r="Q103" i="2"/>
  <c r="Q243" i="2"/>
  <c r="Q124" i="2"/>
  <c r="Q106" i="2"/>
  <c r="Q39" i="2"/>
  <c r="Q173" i="2"/>
  <c r="Q60" i="2"/>
  <c r="Q768" i="2"/>
  <c r="Q752" i="2"/>
  <c r="Q732" i="2"/>
  <c r="Q767" i="2"/>
  <c r="Q676" i="2"/>
  <c r="Q695" i="2"/>
  <c r="Q671" i="2"/>
  <c r="Q650" i="2"/>
  <c r="Q727" i="2"/>
  <c r="Q657" i="2"/>
  <c r="Q653" i="2"/>
  <c r="Q694" i="2"/>
  <c r="Q580" i="2"/>
  <c r="Q683" i="2"/>
  <c r="Q618" i="2"/>
  <c r="Q591" i="2"/>
  <c r="Q581" i="2"/>
  <c r="Q632" i="2"/>
  <c r="Q556" i="2"/>
  <c r="Q519" i="2"/>
  <c r="Q490" i="2"/>
  <c r="Q745" i="2"/>
  <c r="V745" i="2" s="1"/>
  <c r="Q682" i="2"/>
  <c r="Q485" i="2"/>
  <c r="Q430" i="2"/>
  <c r="Q387" i="2"/>
  <c r="Q546" i="2"/>
  <c r="Q641" i="2"/>
  <c r="Q470" i="2"/>
  <c r="J470" i="2" s="1"/>
  <c r="H470" i="2" s="1"/>
  <c r="G470" i="3" s="1"/>
  <c r="K470" i="3" s="1"/>
  <c r="Q410" i="2"/>
  <c r="Q369" i="2"/>
  <c r="Q555" i="2"/>
  <c r="Q497" i="2"/>
  <c r="Q444" i="2"/>
  <c r="Q380" i="2"/>
  <c r="Q460" i="2"/>
  <c r="Q684" i="2"/>
  <c r="Q457" i="2"/>
  <c r="Q350" i="2"/>
  <c r="Q319" i="2"/>
  <c r="Q265" i="2"/>
  <c r="Q417" i="2"/>
  <c r="Q442" i="2"/>
  <c r="Q423" i="2"/>
  <c r="Q349" i="2"/>
  <c r="Q301" i="2"/>
  <c r="J301" i="2" s="1"/>
  <c r="H301" i="2" s="1"/>
  <c r="G301" i="3" s="1"/>
  <c r="K301" i="3" s="1"/>
  <c r="Q260" i="2"/>
  <c r="Q273" i="2"/>
  <c r="Q308" i="2"/>
  <c r="Q204" i="2"/>
  <c r="Q332" i="2"/>
  <c r="Q244" i="2"/>
  <c r="Q211" i="2"/>
  <c r="Q234" i="2"/>
  <c r="Q198" i="2"/>
  <c r="Q153" i="2"/>
  <c r="Q241" i="2"/>
  <c r="Q178" i="2"/>
  <c r="Q147" i="2"/>
  <c r="Q131" i="2"/>
  <c r="Q88" i="2"/>
  <c r="Q339" i="2"/>
  <c r="Q237" i="2"/>
  <c r="V237" i="2" s="1"/>
  <c r="Q156" i="2"/>
  <c r="Q101" i="2"/>
  <c r="Q224" i="2"/>
  <c r="Q118" i="2"/>
  <c r="Q102" i="2"/>
  <c r="Q37" i="2"/>
  <c r="Q148" i="2"/>
  <c r="V148" i="2" s="1"/>
  <c r="Q58" i="2"/>
  <c r="Q120" i="2"/>
  <c r="Q69" i="2"/>
  <c r="Q30" i="2"/>
  <c r="Q144" i="2"/>
  <c r="Q175" i="2"/>
  <c r="Q53" i="2"/>
  <c r="Q57" i="2"/>
  <c r="Q18" i="2"/>
  <c r="Q711" i="2"/>
  <c r="Q724" i="2"/>
  <c r="Q674" i="2"/>
  <c r="Q701" i="2"/>
  <c r="Q646" i="2"/>
  <c r="Q660" i="2"/>
  <c r="Q647" i="2"/>
  <c r="Q578" i="2"/>
  <c r="Q737" i="2"/>
  <c r="Q608" i="2"/>
  <c r="Q571" i="2"/>
  <c r="Q550" i="2"/>
  <c r="Q488" i="2"/>
  <c r="Q704" i="2"/>
  <c r="Q467" i="2"/>
  <c r="Q393" i="2"/>
  <c r="Q465" i="2"/>
  <c r="Q463" i="2"/>
  <c r="Q402" i="2"/>
  <c r="Q535" i="2"/>
  <c r="Q536" i="2"/>
  <c r="Q509" i="2"/>
  <c r="Q642" i="2"/>
  <c r="Q435" i="2"/>
  <c r="Q300" i="2"/>
  <c r="Q511" i="2"/>
  <c r="Q362" i="2"/>
  <c r="Q347" i="2"/>
  <c r="Q293" i="2"/>
  <c r="Q269" i="2"/>
  <c r="Q229" i="2"/>
  <c r="Q358" i="2"/>
  <c r="Q209" i="2"/>
  <c r="Q280" i="2"/>
  <c r="Q270" i="2"/>
  <c r="Q184" i="2"/>
  <c r="Q141" i="2"/>
  <c r="Q86" i="2"/>
  <c r="Q247" i="2"/>
  <c r="J247" i="2" s="1"/>
  <c r="H247" i="2" s="1"/>
  <c r="G247" i="3" s="1"/>
  <c r="K247" i="3" s="1"/>
  <c r="Q113" i="2"/>
  <c r="Q372" i="2"/>
  <c r="Q239" i="2"/>
  <c r="Q35" i="2"/>
  <c r="Q226" i="2"/>
  <c r="Q112" i="2"/>
  <c r="Q40" i="2"/>
  <c r="Q185" i="2"/>
  <c r="Q146" i="2"/>
  <c r="Q132" i="2"/>
  <c r="Q337" i="2"/>
  <c r="Q324" i="2"/>
  <c r="Q750" i="2"/>
  <c r="Q703" i="2"/>
  <c r="Q670" i="2"/>
  <c r="Q677" i="2"/>
  <c r="V677" i="2" s="1"/>
  <c r="Q627" i="2"/>
  <c r="Q656" i="2"/>
  <c r="Q628" i="2"/>
  <c r="Q576" i="2"/>
  <c r="Q729" i="2"/>
  <c r="Q606" i="2"/>
  <c r="Q617" i="2"/>
  <c r="Q527" i="2"/>
  <c r="Q486" i="2"/>
  <c r="Q596" i="2"/>
  <c r="Q458" i="2"/>
  <c r="Q385" i="2"/>
  <c r="Q456" i="2"/>
  <c r="Q445" i="2"/>
  <c r="Q400" i="2"/>
  <c r="Q524" i="2"/>
  <c r="Q394" i="2"/>
  <c r="Q507" i="2"/>
  <c r="Q545" i="2"/>
  <c r="Q399" i="2"/>
  <c r="Q298" i="2"/>
  <c r="Q386" i="2"/>
  <c r="Q359" i="2"/>
  <c r="Q345" i="2"/>
  <c r="J345" i="2" s="1"/>
  <c r="H345" i="2" s="1"/>
  <c r="G345" i="3" s="1"/>
  <c r="K345" i="3" s="1"/>
  <c r="Q291" i="2"/>
  <c r="Q374" i="2"/>
  <c r="Q202" i="2"/>
  <c r="Q252" i="2"/>
  <c r="Q315" i="2"/>
  <c r="Q245" i="2"/>
  <c r="Q251" i="2"/>
  <c r="Q176" i="2"/>
  <c r="Q139" i="2"/>
  <c r="Q84" i="2"/>
  <c r="Q216" i="2"/>
  <c r="Q111" i="2"/>
  <c r="Q220" i="2"/>
  <c r="Q142" i="2"/>
  <c r="Q33" i="2"/>
  <c r="Q79" i="2"/>
  <c r="V79" i="2" s="1"/>
  <c r="Q108" i="2"/>
  <c r="Q38" i="2"/>
  <c r="Q169" i="2"/>
  <c r="Q51" i="2"/>
  <c r="Q55" i="2"/>
  <c r="Q20" i="2"/>
  <c r="Q763" i="2"/>
  <c r="Q723" i="2"/>
  <c r="Q579" i="2"/>
  <c r="Q480" i="2"/>
  <c r="Q379" i="2"/>
  <c r="Q489" i="2"/>
  <c r="Q491" i="2"/>
  <c r="Q557" i="2"/>
  <c r="Q283" i="2"/>
  <c r="Q240" i="2"/>
  <c r="J240" i="2" s="1"/>
  <c r="H240" i="2" s="1"/>
  <c r="G240" i="3" s="1"/>
  <c r="K240" i="3" s="1"/>
  <c r="Q170" i="2"/>
  <c r="Q78" i="2"/>
  <c r="Q187" i="2"/>
  <c r="Q52" i="2"/>
  <c r="Q47" i="2"/>
  <c r="Q693" i="2"/>
  <c r="Q698" i="2"/>
  <c r="Q748" i="2"/>
  <c r="Q773" i="2"/>
  <c r="Q668" i="2"/>
  <c r="Q669" i="2"/>
  <c r="Q625" i="2"/>
  <c r="Q755" i="2"/>
  <c r="Q626" i="2"/>
  <c r="Q574" i="2"/>
  <c r="Q616" i="2"/>
  <c r="Q604" i="2"/>
  <c r="Q700" i="2"/>
  <c r="Q525" i="2"/>
  <c r="J525" i="2" s="1"/>
  <c r="H525" i="2" s="1"/>
  <c r="G525" i="3" s="1"/>
  <c r="K525" i="3" s="1"/>
  <c r="Q484" i="2"/>
  <c r="Q637" i="2"/>
  <c r="Q438" i="2"/>
  <c r="Q383" i="2"/>
  <c r="Q452" i="2"/>
  <c r="Q443" i="2"/>
  <c r="Q367" i="2"/>
  <c r="Q516" i="2"/>
  <c r="Q615" i="2"/>
  <c r="Q504" i="2"/>
  <c r="Q538" i="2"/>
  <c r="Q348" i="2"/>
  <c r="Q296" i="2"/>
  <c r="Q735" i="2"/>
  <c r="Q357" i="2"/>
  <c r="Q343" i="2"/>
  <c r="Q258" i="2"/>
  <c r="Q368" i="2"/>
  <c r="Q200" i="2"/>
  <c r="Q250" i="2"/>
  <c r="Q313" i="2"/>
  <c r="Q196" i="2"/>
  <c r="Q212" i="2"/>
  <c r="Q174" i="2"/>
  <c r="Q137" i="2"/>
  <c r="Q82" i="2"/>
  <c r="Q218" i="2"/>
  <c r="Q109" i="2"/>
  <c r="Q274" i="2"/>
  <c r="Q130" i="2"/>
  <c r="Q31" i="2"/>
  <c r="J31" i="2" s="1"/>
  <c r="H31" i="2" s="1"/>
  <c r="G31" i="3" s="1"/>
  <c r="K31" i="3" s="1"/>
  <c r="Q56" i="2"/>
  <c r="Q104" i="2"/>
  <c r="Q36" i="2"/>
  <c r="Q126" i="2"/>
  <c r="Q21" i="2"/>
  <c r="Q26" i="2"/>
  <c r="Q764" i="2"/>
  <c r="Q664" i="2"/>
  <c r="Q665" i="2"/>
  <c r="Q636" i="2"/>
  <c r="Q612" i="2"/>
  <c r="Q515" i="2"/>
  <c r="Q428" i="2"/>
  <c r="Q416" i="2"/>
  <c r="Q454" i="2"/>
  <c r="Q344" i="2"/>
  <c r="Q392" i="2"/>
  <c r="Q401" i="2"/>
  <c r="Q192" i="2"/>
  <c r="V192" i="2" s="1"/>
  <c r="Q127" i="2"/>
  <c r="Q99" i="2"/>
  <c r="Q284" i="2"/>
  <c r="Q28" i="2"/>
  <c r="Q17" i="2"/>
  <c r="Q717" i="2"/>
  <c r="J717" i="2" s="1"/>
  <c r="H717" i="2" s="1"/>
  <c r="G717" i="3" s="1"/>
  <c r="K717" i="3" s="1"/>
  <c r="Q740" i="2"/>
  <c r="Q714" i="2"/>
  <c r="Q739" i="2"/>
  <c r="Q692" i="2"/>
  <c r="Q607" i="2"/>
  <c r="Q633" i="2"/>
  <c r="Q746" i="2"/>
  <c r="Q765" i="2"/>
  <c r="Q666" i="2"/>
  <c r="Q667" i="2"/>
  <c r="Q623" i="2"/>
  <c r="Q749" i="2"/>
  <c r="Q639" i="2"/>
  <c r="Q572" i="2"/>
  <c r="Q614" i="2"/>
  <c r="Q587" i="2"/>
  <c r="Q619" i="2"/>
  <c r="Q517" i="2"/>
  <c r="Q482" i="2"/>
  <c r="Q598" i="2"/>
  <c r="Q436" i="2"/>
  <c r="Q381" i="2"/>
  <c r="Q566" i="2"/>
  <c r="Q418" i="2"/>
  <c r="Q365" i="2"/>
  <c r="Q540" i="2"/>
  <c r="Q483" i="2"/>
  <c r="Q437" i="2"/>
  <c r="Q526" i="2"/>
  <c r="V526" i="2" s="1"/>
  <c r="Q346" i="2"/>
  <c r="V346" i="2" s="1"/>
  <c r="Q294" i="2"/>
  <c r="Q559" i="2"/>
  <c r="Q409" i="2"/>
  <c r="Q326" i="2"/>
  <c r="Q285" i="2"/>
  <c r="Q314" i="2"/>
  <c r="Q528" i="2"/>
  <c r="J528" i="2" s="1"/>
  <c r="H528" i="2" s="1"/>
  <c r="G528" i="3" s="1"/>
  <c r="K528" i="3" s="1"/>
  <c r="Q242" i="2"/>
  <c r="Q311" i="2"/>
  <c r="Q194" i="2"/>
  <c r="Q203" i="2"/>
  <c r="Q172" i="2"/>
  <c r="Q129" i="2"/>
  <c r="Q80" i="2"/>
  <c r="Q197" i="2"/>
  <c r="Q107" i="2"/>
  <c r="Q228" i="2"/>
  <c r="Q98" i="2"/>
  <c r="Q29" i="2"/>
  <c r="Q54" i="2"/>
  <c r="Q100" i="2"/>
  <c r="Q32" i="2"/>
  <c r="Q77" i="2"/>
  <c r="Q19" i="2"/>
  <c r="Q128" i="2"/>
  <c r="Q744" i="2"/>
  <c r="Q721" i="2"/>
  <c r="Q570" i="2"/>
  <c r="Q592" i="2"/>
  <c r="Q600" i="2"/>
  <c r="Q544" i="2"/>
  <c r="Q363" i="2"/>
  <c r="Q433" i="2"/>
  <c r="Q263" i="2"/>
  <c r="Q306" i="2"/>
  <c r="Q309" i="2"/>
  <c r="Q214" i="2"/>
  <c r="Q195" i="2"/>
  <c r="Q94" i="2"/>
  <c r="Q96" i="2"/>
  <c r="Q22" i="2"/>
  <c r="Q134" i="2"/>
  <c r="V134" i="2" s="1"/>
  <c r="Q143" i="2"/>
  <c r="Q378" i="2"/>
  <c r="Q534" i="2"/>
  <c r="Q459" i="2"/>
  <c r="Q408" i="2"/>
  <c r="Q496" i="2"/>
  <c r="Q577" i="2"/>
  <c r="Q649" i="2"/>
  <c r="Q61" i="2"/>
  <c r="Q27" i="2"/>
  <c r="Q48" i="2"/>
  <c r="Q76" i="2"/>
  <c r="Q193" i="2"/>
  <c r="Q145" i="2"/>
  <c r="Q407" i="2"/>
  <c r="Q297" i="2"/>
  <c r="Q257" i="2"/>
  <c r="Q382" i="2"/>
  <c r="Q466" i="2"/>
  <c r="Q495" i="2"/>
  <c r="Q426" i="2"/>
  <c r="Q498" i="2"/>
  <c r="Q751" i="2"/>
  <c r="J751" i="2" s="1"/>
  <c r="H751" i="2" s="1"/>
  <c r="G751" i="3" s="1"/>
  <c r="K751" i="3" s="1"/>
  <c r="Q651" i="2"/>
  <c r="Q712" i="2"/>
  <c r="N151" i="2"/>
  <c r="Q87" i="2"/>
  <c r="Q199" i="2"/>
  <c r="Q50" i="2"/>
  <c r="V50" i="2" s="1"/>
  <c r="Q81" i="2"/>
  <c r="Q282" i="2"/>
  <c r="Q168" i="2"/>
  <c r="Q499" i="2"/>
  <c r="Q231" i="2"/>
  <c r="Q299" i="2"/>
  <c r="Q259" i="2"/>
  <c r="Q419" i="2"/>
  <c r="Q481" i="2"/>
  <c r="J481" i="2" s="1"/>
  <c r="H481" i="2" s="1"/>
  <c r="G481" i="3" s="1"/>
  <c r="K481" i="3" s="1"/>
  <c r="Q510" i="2"/>
  <c r="Q477" i="2"/>
  <c r="Q500" i="2"/>
  <c r="Q597" i="2"/>
  <c r="Q687" i="2"/>
  <c r="Q728" i="2"/>
  <c r="N190" i="2"/>
  <c r="Q45" i="2"/>
  <c r="Q70" i="2"/>
  <c r="Q162" i="2"/>
  <c r="Q161" i="2"/>
  <c r="Q295" i="2"/>
  <c r="Q635" i="2"/>
  <c r="Q424" i="2"/>
  <c r="Q710" i="2"/>
  <c r="Q338" i="2"/>
  <c r="Q183" i="2"/>
  <c r="V183" i="2" s="1"/>
  <c r="Q230" i="2"/>
  <c r="Q85" i="2"/>
  <c r="Q179" i="2"/>
  <c r="Q331" i="2"/>
  <c r="Q186" i="2"/>
  <c r="Q232" i="2"/>
  <c r="Q233" i="2"/>
  <c r="Q415" i="2"/>
  <c r="Q261" i="2"/>
  <c r="Q425" i="2"/>
  <c r="Q542" i="2"/>
  <c r="Q537" i="2"/>
  <c r="Q532" i="2"/>
  <c r="Q552" i="2"/>
  <c r="Q599" i="2"/>
  <c r="Q690" i="2"/>
  <c r="Q730" i="2"/>
  <c r="Q249" i="2"/>
  <c r="Q333" i="2"/>
  <c r="Q122" i="2"/>
  <c r="Q93" i="2"/>
  <c r="Q335" i="2"/>
  <c r="Q188" i="2"/>
  <c r="Q217" i="2"/>
  <c r="Q235" i="2"/>
  <c r="Q518" i="2"/>
  <c r="Q302" i="2"/>
  <c r="Q429" i="2"/>
  <c r="Q741" i="2"/>
  <c r="Q522" i="2"/>
  <c r="V522" i="2" s="1"/>
  <c r="Q541" i="2"/>
  <c r="Q554" i="2"/>
  <c r="Q747" i="2"/>
  <c r="Q648" i="2"/>
  <c r="Q713" i="2"/>
  <c r="Q388" i="2"/>
  <c r="Q65" i="2"/>
  <c r="Q136" i="2"/>
  <c r="Q95" i="2"/>
  <c r="Q121" i="2"/>
  <c r="Q205" i="2"/>
  <c r="Q219" i="2"/>
  <c r="Q271" i="2"/>
  <c r="Q568" i="2"/>
  <c r="Q325" i="2"/>
  <c r="Q543" i="2"/>
  <c r="Q361" i="2"/>
  <c r="J361" i="2" s="1"/>
  <c r="H361" i="2" s="1"/>
  <c r="G361" i="3" s="1"/>
  <c r="K361" i="3" s="1"/>
  <c r="Q539" i="2"/>
  <c r="Q731" i="2"/>
  <c r="Q562" i="2"/>
  <c r="Q757" i="2"/>
  <c r="Q733" i="2"/>
  <c r="Q715" i="2"/>
  <c r="N397" i="2"/>
  <c r="N329" i="2"/>
  <c r="N760" i="2"/>
  <c r="N317" i="2"/>
  <c r="AX469" i="2"/>
  <c r="AX593" i="2"/>
  <c r="AX36" i="2"/>
  <c r="AX429" i="2"/>
  <c r="AX325" i="2"/>
  <c r="AX30" i="2"/>
  <c r="AX384" i="2"/>
  <c r="AX83" i="2"/>
  <c r="AX17" i="2"/>
  <c r="AX380" i="2"/>
  <c r="AX409" i="2"/>
  <c r="AX401" i="2"/>
  <c r="AX333" i="2"/>
  <c r="AX253" i="2"/>
  <c r="AX215" i="2"/>
  <c r="N610" i="2"/>
  <c r="N15" i="2"/>
  <c r="N564" i="2"/>
  <c r="AX70" i="2"/>
  <c r="N513" i="2"/>
  <c r="N440" i="2"/>
  <c r="N376" i="2"/>
  <c r="N354" i="2"/>
  <c r="N43" i="2"/>
  <c r="AX135" i="2"/>
  <c r="N630" i="2"/>
  <c r="N421" i="2"/>
  <c r="N288" i="2"/>
  <c r="N115" i="2"/>
  <c r="AX196" i="2"/>
  <c r="AS419" i="2"/>
  <c r="AS140" i="2"/>
  <c r="AS65" i="2"/>
  <c r="N90" i="2"/>
  <c r="N164" i="2"/>
  <c r="N304" i="2"/>
  <c r="BA389" i="2"/>
  <c r="BA20" i="2"/>
  <c r="BA46" i="2"/>
  <c r="BA75" i="2"/>
  <c r="BA93" i="2"/>
  <c r="BA61" i="2"/>
  <c r="BA34" i="2"/>
  <c r="BA76" i="2"/>
  <c r="BA119" i="2"/>
  <c r="BA135" i="2"/>
  <c r="BA182" i="2"/>
  <c r="BA349" i="2"/>
  <c r="BA106" i="2"/>
  <c r="BA161" i="2"/>
  <c r="BA251" i="2"/>
  <c r="BA79" i="2"/>
  <c r="BA124" i="2"/>
  <c r="BA140" i="2"/>
  <c r="BA173" i="2"/>
  <c r="BA225" i="2"/>
  <c r="BA293" i="2"/>
  <c r="BA274" i="2"/>
  <c r="BA299" i="2"/>
  <c r="BA220" i="2"/>
  <c r="BA336" i="2"/>
  <c r="BA205" i="2"/>
  <c r="BA324" i="2"/>
  <c r="BA431" i="2"/>
  <c r="BA265" i="2"/>
  <c r="BA350" i="2"/>
  <c r="BA365" i="2"/>
  <c r="BA240" i="2"/>
  <c r="BA271" i="2"/>
  <c r="BA337" i="2"/>
  <c r="BA620" i="2"/>
  <c r="BA448" i="2"/>
  <c r="BA430" i="2"/>
  <c r="BA416" i="2"/>
  <c r="BA395" i="2"/>
  <c r="BA667" i="2"/>
  <c r="BA574" i="2"/>
  <c r="BA366" i="2"/>
  <c r="BA405" i="2"/>
  <c r="BA456" i="2"/>
  <c r="BA478" i="2"/>
  <c r="BA494" i="2"/>
  <c r="BA523" i="2"/>
  <c r="BA560" i="2"/>
  <c r="BA570" i="2"/>
  <c r="BA457" i="2"/>
  <c r="BA541" i="2"/>
  <c r="BA607" i="2"/>
  <c r="BA626" i="2"/>
  <c r="BA477" i="2"/>
  <c r="BA493" i="2"/>
  <c r="BA524" i="2"/>
  <c r="BA561" i="2"/>
  <c r="BA724" i="2"/>
  <c r="BA617" i="2"/>
  <c r="BA625" i="2"/>
  <c r="BA752" i="2"/>
  <c r="BA728" i="2"/>
  <c r="BA666" i="2"/>
  <c r="BA704" i="2"/>
  <c r="BA694" i="2"/>
  <c r="BA734" i="2"/>
  <c r="BA770" i="2"/>
  <c r="BA731" i="2"/>
  <c r="BA747" i="2"/>
  <c r="BA712" i="2"/>
  <c r="BA773" i="2"/>
  <c r="N207" i="2"/>
  <c r="N589" i="2"/>
  <c r="N72" i="2"/>
  <c r="N602" i="2"/>
  <c r="N548" i="2"/>
  <c r="BA19" i="2"/>
  <c r="BA27" i="2"/>
  <c r="BA22" i="2"/>
  <c r="BA48" i="2"/>
  <c r="BA154" i="2"/>
  <c r="BA97" i="2"/>
  <c r="BA47" i="2"/>
  <c r="BA36" i="2"/>
  <c r="BA78" i="2"/>
  <c r="BA121" i="2"/>
  <c r="BA137" i="2"/>
  <c r="BA168" i="2"/>
  <c r="BA184" i="2"/>
  <c r="BA202" i="2"/>
  <c r="BA108" i="2"/>
  <c r="BA264" i="2"/>
  <c r="BA81" i="2"/>
  <c r="BA126" i="2"/>
  <c r="BA142" i="2"/>
  <c r="BA175" i="2"/>
  <c r="BA227" i="2"/>
  <c r="BA301" i="2"/>
  <c r="BA276" i="2"/>
  <c r="BA361" i="2"/>
  <c r="BA262" i="2"/>
  <c r="BA338" i="2"/>
  <c r="BA347" i="2"/>
  <c r="BA432" i="2"/>
  <c r="BA321" i="2"/>
  <c r="BA352" i="2"/>
  <c r="BA369" i="2"/>
  <c r="BA242" i="2"/>
  <c r="BA273" i="2"/>
  <c r="BA308" i="2"/>
  <c r="BA339" i="2"/>
  <c r="BA359" i="2"/>
  <c r="BA460" i="2"/>
  <c r="BA434" i="2"/>
  <c r="BA447" i="2"/>
  <c r="BA534" i="2"/>
  <c r="BA740" i="2"/>
  <c r="BA581" i="2"/>
  <c r="BA368" i="2"/>
  <c r="BA407" i="2"/>
  <c r="BA444" i="2"/>
  <c r="BA546" i="2"/>
  <c r="BA480" i="2"/>
  <c r="BA496" i="2"/>
  <c r="BA525" i="2"/>
  <c r="BA562" i="2"/>
  <c r="BA573" i="2"/>
  <c r="BA459" i="2"/>
  <c r="BA506" i="2"/>
  <c r="BA543" i="2"/>
  <c r="BA614" i="2"/>
  <c r="BA479" i="2"/>
  <c r="BA495" i="2"/>
  <c r="BA526" i="2"/>
  <c r="BA572" i="2"/>
  <c r="BA670" i="2"/>
  <c r="BA592" i="2"/>
  <c r="BA619" i="2"/>
  <c r="BA628" i="2"/>
  <c r="BA669" i="2"/>
  <c r="BA764" i="2"/>
  <c r="BA674" i="2"/>
  <c r="BA709" i="2"/>
  <c r="BA696" i="2"/>
  <c r="BA738" i="2"/>
  <c r="BA702" i="2"/>
  <c r="BA733" i="2"/>
  <c r="BA749" i="2"/>
  <c r="BA714" i="2"/>
  <c r="BA21" i="2"/>
  <c r="BA28" i="2"/>
  <c r="BA31" i="2"/>
  <c r="BA50" i="2"/>
  <c r="BA193" i="2"/>
  <c r="BA101" i="2"/>
  <c r="BA49" i="2"/>
  <c r="BA162" i="2"/>
  <c r="BA38" i="2"/>
  <c r="BA80" i="2"/>
  <c r="BA123" i="2"/>
  <c r="BA139" i="2"/>
  <c r="BA170" i="2"/>
  <c r="BA186" i="2"/>
  <c r="BA211" i="2"/>
  <c r="BA94" i="2"/>
  <c r="BA110" i="2"/>
  <c r="BA194" i="2"/>
  <c r="BA229" i="2"/>
  <c r="BA83" i="2"/>
  <c r="BA128" i="2"/>
  <c r="BA144" i="2"/>
  <c r="BA177" i="2"/>
  <c r="BA239" i="2"/>
  <c r="BA357" i="2"/>
  <c r="BA278" i="2"/>
  <c r="BA404" i="2"/>
  <c r="BA326" i="2"/>
  <c r="BA410" i="2"/>
  <c r="BA226" i="2"/>
  <c r="BA578" i="2"/>
  <c r="BA445" i="2"/>
  <c r="BA292" i="2"/>
  <c r="BA323" i="2"/>
  <c r="BA379" i="2"/>
  <c r="BA373" i="2"/>
  <c r="BA244" i="2"/>
  <c r="BA275" i="2"/>
  <c r="BA310" i="2"/>
  <c r="BA402" i="2"/>
  <c r="BA507" i="2"/>
  <c r="AS337" i="2"/>
  <c r="N222" i="2"/>
  <c r="N530" i="2"/>
  <c r="AS111" i="2"/>
  <c r="AS76" i="2"/>
  <c r="AS664" i="2"/>
  <c r="AS571" i="2"/>
  <c r="N706" i="2"/>
  <c r="AS430" i="2"/>
  <c r="AS203" i="2"/>
  <c r="AS763" i="2"/>
  <c r="AS504" i="2"/>
  <c r="AS558" i="2"/>
  <c r="AS385" i="2"/>
  <c r="AS80" i="2"/>
  <c r="AS235" i="2"/>
  <c r="AS758" i="2"/>
  <c r="AS638" i="2"/>
  <c r="AS154" i="2"/>
  <c r="AS619" i="2"/>
  <c r="AS746" i="2"/>
  <c r="AS250" i="2"/>
  <c r="AS209" i="2"/>
  <c r="AS292" i="2"/>
  <c r="AS766" i="2"/>
  <c r="AS393" i="2"/>
  <c r="AS425" i="2"/>
  <c r="AS262" i="2"/>
  <c r="AS249" i="2"/>
  <c r="AS167" i="2"/>
  <c r="AS180" i="2"/>
  <c r="AS710" i="2"/>
  <c r="AS749" i="2"/>
  <c r="AS362" i="2"/>
  <c r="N680" i="2"/>
  <c r="N267" i="2"/>
  <c r="AS519" i="2"/>
  <c r="AS628" i="2"/>
  <c r="AS695" i="2"/>
  <c r="N24" i="2"/>
  <c r="AS465" i="2"/>
  <c r="AS159" i="2"/>
  <c r="AS543" i="2"/>
  <c r="AS259" i="2"/>
  <c r="AS142" i="2"/>
  <c r="AS676" i="2"/>
  <c r="AS751" i="2"/>
  <c r="AS380" i="2"/>
  <c r="AS220" i="2"/>
  <c r="AS281" i="2"/>
  <c r="AS434" i="2"/>
  <c r="AS248" i="2"/>
  <c r="AS58" i="2"/>
  <c r="AS768" i="2"/>
  <c r="AS570" i="2"/>
  <c r="AS383" i="2"/>
  <c r="AS29" i="2"/>
  <c r="AS123" i="2"/>
  <c r="AS433" i="2"/>
  <c r="AS229" i="2"/>
  <c r="AS703" i="2"/>
  <c r="AS521" i="2"/>
  <c r="AS678" i="2"/>
  <c r="AS218" i="2"/>
  <c r="AS615" i="2"/>
  <c r="AS633" i="2"/>
  <c r="AS466" i="2"/>
  <c r="AS104" i="2"/>
  <c r="AS431" i="2"/>
  <c r="AS100" i="2"/>
  <c r="AS574" i="2"/>
  <c r="AS348" i="2"/>
  <c r="AS306" i="2"/>
  <c r="N450" i="2"/>
  <c r="AS119" i="2"/>
  <c r="AS286" i="2"/>
  <c r="AS20" i="2"/>
  <c r="AS233" i="2"/>
  <c r="AS78" i="2"/>
  <c r="AS428" i="2"/>
  <c r="AS635" i="2"/>
  <c r="AS475" i="2"/>
  <c r="BA95" i="2"/>
  <c r="BA70" i="2"/>
  <c r="BA99" i="2"/>
  <c r="BA107" i="2"/>
  <c r="BA54" i="2"/>
  <c r="BA197" i="2"/>
  <c r="BA109" i="2"/>
  <c r="BA53" i="2"/>
  <c r="BA84" i="2"/>
  <c r="BA127" i="2"/>
  <c r="BA143" i="2"/>
  <c r="BA174" i="2"/>
  <c r="BA204" i="2"/>
  <c r="BA295" i="2"/>
  <c r="BA98" i="2"/>
  <c r="BA198" i="2"/>
  <c r="BA313" i="2"/>
  <c r="BA87" i="2"/>
  <c r="BA132" i="2"/>
  <c r="BA148" i="2"/>
  <c r="BA181" i="2"/>
  <c r="BA219" i="2"/>
  <c r="BA428" i="2"/>
  <c r="BA282" i="2"/>
  <c r="BA212" i="2"/>
  <c r="BA382" i="2"/>
  <c r="BA427" i="2"/>
  <c r="BA230" i="2"/>
  <c r="BA384" i="2"/>
  <c r="BA296" i="2"/>
  <c r="BA327" i="2"/>
  <c r="BA433" i="2"/>
  <c r="BA437" i="2"/>
  <c r="BA248" i="2"/>
  <c r="BA279" i="2"/>
  <c r="BA314" i="2"/>
  <c r="BA367" i="2"/>
  <c r="BA676" i="2"/>
  <c r="BA392" i="2"/>
  <c r="AS84" i="2"/>
  <c r="AS120" i="2"/>
  <c r="AS748" i="2"/>
  <c r="AS429" i="2"/>
  <c r="AS492" i="2"/>
  <c r="AS36" i="2"/>
  <c r="AS260" i="2"/>
  <c r="AS493" i="2"/>
  <c r="AS608" i="2"/>
  <c r="AS57" i="2"/>
  <c r="AS745" i="2"/>
  <c r="AS675" i="2"/>
  <c r="AS387" i="2"/>
  <c r="AS54" i="2"/>
  <c r="AS312" i="2"/>
  <c r="AS470" i="2"/>
  <c r="AS455" i="2"/>
  <c r="AS107" i="2"/>
  <c r="AS370" i="2"/>
  <c r="AS620" i="2"/>
  <c r="AS510" i="2"/>
  <c r="AS524" i="2"/>
  <c r="AS177" i="2"/>
  <c r="AS148" i="2"/>
  <c r="AS102" i="2"/>
  <c r="AS394" i="2"/>
  <c r="AS372" i="2"/>
  <c r="AS199" i="2"/>
  <c r="AS234" i="2"/>
  <c r="AS176" i="2"/>
  <c r="AS121" i="2"/>
  <c r="AS279" i="2"/>
  <c r="AS214" i="2"/>
  <c r="AS202" i="2"/>
  <c r="AS452" i="2"/>
  <c r="AS700" i="2"/>
  <c r="AS712" i="2"/>
  <c r="AS68" i="2"/>
  <c r="AS210" i="2"/>
  <c r="AS568" i="2"/>
  <c r="AS714" i="2"/>
  <c r="BD11" i="2"/>
  <c r="I43" i="1" s="1"/>
  <c r="N255" i="2"/>
  <c r="BA156" i="2"/>
  <c r="BA29" i="2"/>
  <c r="BA111" i="2"/>
  <c r="BA56" i="2"/>
  <c r="BA237" i="2"/>
  <c r="BA113" i="2"/>
  <c r="BA55" i="2"/>
  <c r="BA458" i="2"/>
  <c r="BA67" i="2"/>
  <c r="BA86" i="2"/>
  <c r="BA129" i="2"/>
  <c r="BA145" i="2"/>
  <c r="BA176" i="2"/>
  <c r="BA213" i="2"/>
  <c r="BA307" i="2"/>
  <c r="BA100" i="2"/>
  <c r="BA155" i="2"/>
  <c r="BA200" i="2"/>
  <c r="BA351" i="2"/>
  <c r="BA118" i="2"/>
  <c r="BA134" i="2"/>
  <c r="BA167" i="2"/>
  <c r="BA183" i="2"/>
  <c r="BA233" i="2"/>
  <c r="BA505" i="2"/>
  <c r="BA284" i="2"/>
  <c r="BA214" i="2"/>
  <c r="BA297" i="2"/>
  <c r="BA199" i="2"/>
  <c r="BA232" i="2"/>
  <c r="BA412" i="2"/>
  <c r="BA259" i="2"/>
  <c r="BA298" i="2"/>
  <c r="BA344" i="2"/>
  <c r="BA435" i="2"/>
  <c r="BA250" i="2"/>
  <c r="BA281" i="2"/>
  <c r="BA371" i="2"/>
  <c r="BA388" i="2"/>
  <c r="BA406" i="2"/>
  <c r="BA391" i="2"/>
  <c r="BA381" i="2"/>
  <c r="BA538" i="2"/>
  <c r="BA454" i="2"/>
  <c r="BA360" i="2"/>
  <c r="BA415" i="2"/>
  <c r="BA656" i="2"/>
  <c r="BA488" i="2"/>
  <c r="BA517" i="2"/>
  <c r="BA554" i="2"/>
  <c r="BA618" i="2"/>
  <c r="BA624" i="2"/>
  <c r="BA467" i="2"/>
  <c r="BA535" i="2"/>
  <c r="BA576" i="2"/>
  <c r="BA585" i="2"/>
  <c r="BA660" i="2"/>
  <c r="BA487" i="2"/>
  <c r="BA518" i="2"/>
  <c r="BA555" i="2"/>
  <c r="BA627" i="2"/>
  <c r="BA668" i="2"/>
  <c r="BA600" i="2"/>
  <c r="BA659" i="2"/>
  <c r="BA678" i="2"/>
  <c r="BA684" i="2"/>
  <c r="BA637" i="2"/>
  <c r="BA687" i="2"/>
  <c r="BA688" i="2"/>
  <c r="BA722" i="2"/>
  <c r="BA754" i="2"/>
  <c r="BA725" i="2"/>
  <c r="BA741" i="2"/>
  <c r="BA757" i="2"/>
  <c r="AX732" i="2"/>
  <c r="AX748" i="2"/>
  <c r="AX532" i="2"/>
  <c r="AX556" i="2"/>
  <c r="AX242" i="2"/>
  <c r="AX107" i="2"/>
  <c r="AX96" i="2"/>
  <c r="AX174" i="2"/>
  <c r="AX746" i="2"/>
  <c r="AX641" i="2"/>
  <c r="AX411" i="2"/>
  <c r="AX369" i="2"/>
  <c r="AX101" i="2"/>
  <c r="AX176" i="2"/>
  <c r="AX49" i="2"/>
  <c r="AX768" i="2"/>
  <c r="AX491" i="2"/>
  <c r="AX486" i="2"/>
  <c r="AX360" i="2"/>
  <c r="AX97" i="2"/>
  <c r="AX133" i="2"/>
  <c r="AX53" i="2"/>
  <c r="AX87" i="2"/>
  <c r="AX359" i="2"/>
  <c r="AX568" i="2"/>
  <c r="BA253" i="2"/>
  <c r="BA37" i="2"/>
  <c r="BA243" i="2"/>
  <c r="BA33" i="2"/>
  <c r="BA58" i="2"/>
  <c r="BA215" i="2"/>
  <c r="BA217" i="2"/>
  <c r="BA57" i="2"/>
  <c r="BA30" i="2"/>
  <c r="BA69" i="2"/>
  <c r="BA88" i="2"/>
  <c r="BA131" i="2"/>
  <c r="BA147" i="2"/>
  <c r="BA178" i="2"/>
  <c r="BA235" i="2"/>
  <c r="BA315" i="2"/>
  <c r="BA102" i="2"/>
  <c r="BA157" i="2"/>
  <c r="BA424" i="2"/>
  <c r="BA120" i="2"/>
  <c r="BA136" i="2"/>
  <c r="BA169" i="2"/>
  <c r="BA185" i="2"/>
  <c r="BA249" i="2"/>
  <c r="BA270" i="2"/>
  <c r="BA286" i="2"/>
  <c r="BA216" i="2"/>
  <c r="BA332" i="2"/>
  <c r="BA201" i="2"/>
  <c r="BA234" i="2"/>
  <c r="BA418" i="2"/>
  <c r="BA261" i="2"/>
  <c r="BA300" i="2"/>
  <c r="BA346" i="2"/>
  <c r="BA436" i="2"/>
  <c r="BA236" i="2"/>
  <c r="BA252" i="2"/>
  <c r="BA283" i="2"/>
  <c r="BA333" i="2"/>
  <c r="BA380" i="2"/>
  <c r="BA393" i="2"/>
  <c r="BA414" i="2"/>
  <c r="BA400" i="2"/>
  <c r="BA386" i="2"/>
  <c r="BA593" i="2"/>
  <c r="BA468" i="2"/>
  <c r="BA362" i="2"/>
  <c r="BA401" i="2"/>
  <c r="BA417" i="2"/>
  <c r="BA650" i="2"/>
  <c r="BA717" i="2"/>
  <c r="BA490" i="2"/>
  <c r="BA519" i="2"/>
  <c r="BA556" i="2"/>
  <c r="BA621" i="2"/>
  <c r="BA453" i="2"/>
  <c r="BA469" i="2"/>
  <c r="BA537" i="2"/>
  <c r="BA579" i="2"/>
  <c r="BA605" i="2"/>
  <c r="BA772" i="2"/>
  <c r="BA489" i="2"/>
  <c r="BA520" i="2"/>
  <c r="BA557" i="2"/>
  <c r="BA658" i="2"/>
  <c r="BA671" i="2"/>
  <c r="BA613" i="2"/>
  <c r="BA695" i="2"/>
  <c r="BA697" i="2"/>
  <c r="BA685" i="2"/>
  <c r="BA639" i="2"/>
  <c r="BA699" i="2"/>
  <c r="BA690" i="2"/>
  <c r="BA726" i="2"/>
  <c r="BA758" i="2"/>
  <c r="BA727" i="2"/>
  <c r="BA743" i="2"/>
  <c r="AX59" i="2"/>
  <c r="AX134" i="2"/>
  <c r="AX258" i="2"/>
  <c r="AX534" i="2"/>
  <c r="BA41" i="2"/>
  <c r="BA68" i="2"/>
  <c r="BA18" i="2"/>
  <c r="BA103" i="2"/>
  <c r="BA60" i="2"/>
  <c r="BA258" i="2"/>
  <c r="BA309" i="2"/>
  <c r="BA59" i="2"/>
  <c r="BA32" i="2"/>
  <c r="BA158" i="2"/>
  <c r="BA133" i="2"/>
  <c r="BA149" i="2"/>
  <c r="BA180" i="2"/>
  <c r="BA247" i="2"/>
  <c r="BA320" i="2"/>
  <c r="BA104" i="2"/>
  <c r="BA159" i="2"/>
  <c r="BA231" i="2"/>
  <c r="BA77" i="2"/>
  <c r="BA122" i="2"/>
  <c r="BA138" i="2"/>
  <c r="BA171" i="2"/>
  <c r="BA187" i="2"/>
  <c r="BA311" i="2"/>
  <c r="BA272" i="2"/>
  <c r="BA291" i="2"/>
  <c r="BA218" i="2"/>
  <c r="BA334" i="2"/>
  <c r="BA203" i="2"/>
  <c r="BA260" i="2"/>
  <c r="BA429" i="2"/>
  <c r="BA263" i="2"/>
  <c r="BA302" i="2"/>
  <c r="BA348" i="2"/>
  <c r="BA595" i="2"/>
  <c r="BA238" i="2"/>
  <c r="BA285" i="2"/>
  <c r="BA335" i="2"/>
  <c r="BA462" i="2"/>
  <c r="BA443" i="2"/>
  <c r="BA426" i="2"/>
  <c r="BA408" i="2"/>
  <c r="BA390" i="2"/>
  <c r="BA654" i="2"/>
  <c r="BA542" i="2"/>
  <c r="BA364" i="2"/>
  <c r="BA403" i="2"/>
  <c r="BA419" i="2"/>
  <c r="BA653" i="2"/>
  <c r="BA476" i="2"/>
  <c r="BA492" i="2"/>
  <c r="BA521" i="2"/>
  <c r="BA558" i="2"/>
  <c r="BA748" i="2"/>
  <c r="BA455" i="2"/>
  <c r="BA471" i="2"/>
  <c r="BA539" i="2"/>
  <c r="BA587" i="2"/>
  <c r="BA491" i="2"/>
  <c r="BA522" i="2"/>
  <c r="BA559" i="2"/>
  <c r="BA638" i="2"/>
  <c r="BA693" i="2"/>
  <c r="BA615" i="2"/>
  <c r="BA766" i="2"/>
  <c r="BA711" i="2"/>
  <c r="BA691" i="2"/>
  <c r="BA641" i="2"/>
  <c r="BA744" i="2"/>
  <c r="BA692" i="2"/>
  <c r="BA730" i="2"/>
  <c r="BA729" i="2"/>
  <c r="BA745" i="2"/>
  <c r="BA710" i="2"/>
  <c r="AX66" i="2"/>
  <c r="AX284" i="2"/>
  <c r="AX364" i="2"/>
  <c r="AX646" i="2"/>
  <c r="BA438" i="2"/>
  <c r="BA756" i="2"/>
  <c r="BA540" i="2"/>
  <c r="BA586" i="2"/>
  <c r="BA370" i="2"/>
  <c r="BA409" i="2"/>
  <c r="BA470" i="2"/>
  <c r="BA567" i="2"/>
  <c r="BA482" i="2"/>
  <c r="BA498" i="2"/>
  <c r="BA527" i="2"/>
  <c r="BA580" i="2"/>
  <c r="BA582" i="2"/>
  <c r="BA461" i="2"/>
  <c r="BA508" i="2"/>
  <c r="BA545" i="2"/>
  <c r="BA689" i="2"/>
  <c r="BA642" i="2"/>
  <c r="BA481" i="2"/>
  <c r="BA497" i="2"/>
  <c r="BA528" i="2"/>
  <c r="BA575" i="2"/>
  <c r="BA634" i="2"/>
  <c r="BA594" i="2"/>
  <c r="BA622" i="2"/>
  <c r="BA648" i="2"/>
  <c r="BA677" i="2"/>
  <c r="BA768" i="2"/>
  <c r="BA732" i="2"/>
  <c r="BA703" i="2"/>
  <c r="BA698" i="2"/>
  <c r="BA742" i="2"/>
  <c r="BA715" i="2"/>
  <c r="BA735" i="2"/>
  <c r="BA751" i="2"/>
  <c r="BA716" i="2"/>
  <c r="AS624" i="2"/>
  <c r="AS145" i="2"/>
  <c r="AS546" i="2"/>
  <c r="AS515" i="2"/>
  <c r="AS711" i="2"/>
  <c r="AS215" i="2"/>
  <c r="AS689" i="2"/>
  <c r="AS367" i="2"/>
  <c r="AS174" i="2"/>
  <c r="AS99" i="2"/>
  <c r="AS146" i="2"/>
  <c r="AS626" i="2"/>
  <c r="AS683" i="2"/>
  <c r="AS227" i="2"/>
  <c r="AS478" i="2"/>
  <c r="AS194" i="2"/>
  <c r="AS423" i="2"/>
  <c r="AS479" i="2"/>
  <c r="AS532" i="2"/>
  <c r="AS696" i="2"/>
  <c r="AS715" i="2"/>
  <c r="AS283" i="2"/>
  <c r="AS499" i="2"/>
  <c r="AS211" i="2"/>
  <c r="AS572" i="2"/>
  <c r="AS122" i="2"/>
  <c r="AS605" i="2"/>
  <c r="AS18" i="2"/>
  <c r="AS404" i="2"/>
  <c r="AS414" i="2"/>
  <c r="AS481" i="2"/>
  <c r="AS729" i="2"/>
  <c r="AS138" i="2"/>
  <c r="AS345" i="2"/>
  <c r="AS87" i="2"/>
  <c r="AS169" i="2"/>
  <c r="AS134" i="2"/>
  <c r="AS193" i="2"/>
  <c r="AS331" i="2"/>
  <c r="AS448" i="2"/>
  <c r="AS704" i="2"/>
  <c r="AS390" i="2"/>
  <c r="AS265" i="2"/>
  <c r="AS240" i="2"/>
  <c r="AS566" i="2"/>
  <c r="AS48" i="2"/>
  <c r="AS756" i="2"/>
  <c r="AS181" i="2"/>
  <c r="BA536" i="2"/>
  <c r="BA577" i="2"/>
  <c r="BA464" i="2"/>
  <c r="BA675" i="2"/>
  <c r="BA608" i="2"/>
  <c r="BA372" i="2"/>
  <c r="BA411" i="2"/>
  <c r="BA544" i="2"/>
  <c r="BA571" i="2"/>
  <c r="BA484" i="2"/>
  <c r="BA500" i="2"/>
  <c r="BA584" i="2"/>
  <c r="BA616" i="2"/>
  <c r="BA463" i="2"/>
  <c r="BA510" i="2"/>
  <c r="BA736" i="2"/>
  <c r="BA483" i="2"/>
  <c r="BA499" i="2"/>
  <c r="BA551" i="2"/>
  <c r="BA583" i="2"/>
  <c r="BA652" i="2"/>
  <c r="BA596" i="2"/>
  <c r="BA640" i="2"/>
  <c r="BA651" i="2"/>
  <c r="BA633" i="2"/>
  <c r="BA665" i="2"/>
  <c r="BA713" i="2"/>
  <c r="BA700" i="2"/>
  <c r="BA746" i="2"/>
  <c r="BA737" i="2"/>
  <c r="BA753" i="2"/>
  <c r="BA763" i="2"/>
  <c r="AS246" i="2"/>
  <c r="AS447" i="2"/>
  <c r="AS487" i="2"/>
  <c r="AS27" i="2"/>
  <c r="AS755" i="2"/>
  <c r="AS360" i="2"/>
  <c r="AS525" i="2"/>
  <c r="AS392" i="2"/>
  <c r="AS650" i="2"/>
  <c r="AS616" i="2"/>
  <c r="AS110" i="2"/>
  <c r="AS143" i="2"/>
  <c r="AS594" i="2"/>
  <c r="AS534" i="2"/>
  <c r="AS739" i="2"/>
  <c r="AS446" i="2"/>
  <c r="AS476" i="2"/>
  <c r="AS22" i="2"/>
  <c r="AS378" i="2"/>
  <c r="AS336" i="2"/>
  <c r="AS671" i="2"/>
  <c r="AS417" i="2"/>
  <c r="AS137" i="2"/>
  <c r="AS160" i="2"/>
  <c r="AS456" i="2"/>
  <c r="AS606" i="2"/>
  <c r="AS166" i="2"/>
  <c r="AS52" i="2"/>
  <c r="AS39" i="2"/>
  <c r="AS38" i="2"/>
  <c r="AS311" i="2"/>
  <c r="AS765" i="2"/>
  <c r="AS728" i="2"/>
  <c r="AS506" i="2"/>
  <c r="AS634" i="2"/>
  <c r="AS622" i="2"/>
  <c r="AS579" i="2"/>
  <c r="AS687" i="2"/>
  <c r="AS106" i="2"/>
  <c r="AS497" i="2"/>
  <c r="AS484" i="2"/>
  <c r="AS667" i="2"/>
  <c r="AS688" i="2"/>
  <c r="BA387" i="2"/>
  <c r="BA606" i="2"/>
  <c r="BA511" i="2"/>
  <c r="BA446" i="2"/>
  <c r="BA636" i="2"/>
  <c r="BA374" i="2"/>
  <c r="BA413" i="2"/>
  <c r="BA597" i="2"/>
  <c r="BA649" i="2"/>
  <c r="BA486" i="2"/>
  <c r="BA552" i="2"/>
  <c r="BA623" i="2"/>
  <c r="BA465" i="2"/>
  <c r="BA533" i="2"/>
  <c r="BA568" i="2"/>
  <c r="BA569" i="2"/>
  <c r="BA647" i="2"/>
  <c r="BA485" i="2"/>
  <c r="BA516" i="2"/>
  <c r="BA553" i="2"/>
  <c r="BA599" i="2"/>
  <c r="BA655" i="2"/>
  <c r="BA598" i="2"/>
  <c r="BA657" i="2"/>
  <c r="BA672" i="2"/>
  <c r="BA683" i="2"/>
  <c r="BA635" i="2"/>
  <c r="BA673" i="2"/>
  <c r="BA686" i="2"/>
  <c r="BA701" i="2"/>
  <c r="BA750" i="2"/>
  <c r="BA723" i="2"/>
  <c r="BA739" i="2"/>
  <c r="BA755" i="2"/>
  <c r="BA765" i="2"/>
  <c r="AS701" i="2"/>
  <c r="AS771" i="2"/>
  <c r="AS690" i="2"/>
  <c r="AS136" i="2"/>
  <c r="AS575" i="2"/>
  <c r="AS625" i="2"/>
  <c r="AS182" i="2"/>
  <c r="AS67" i="2"/>
  <c r="AS241" i="2"/>
  <c r="AS646" i="2"/>
  <c r="AS94" i="2"/>
  <c r="AS243" i="2"/>
  <c r="AS258" i="2"/>
  <c r="AS185" i="2"/>
  <c r="AS581" i="2"/>
  <c r="AS50" i="2"/>
  <c r="AS528" i="2"/>
  <c r="AS598" i="2"/>
  <c r="AS47" i="2"/>
  <c r="AS542" i="2"/>
  <c r="AS462" i="2"/>
  <c r="AS523" i="2"/>
  <c r="AS651" i="2"/>
  <c r="AS55" i="2"/>
  <c r="AS359" i="2"/>
  <c r="AS252" i="2"/>
  <c r="AS468" i="2"/>
  <c r="AS500" i="2"/>
  <c r="M11" i="2"/>
  <c r="AX46" i="2"/>
  <c r="AX227" i="2"/>
  <c r="AX199" i="2"/>
  <c r="AX337" i="2"/>
  <c r="AX405" i="2"/>
  <c r="AX582" i="2"/>
  <c r="AX647" i="2"/>
  <c r="AX26" i="2"/>
  <c r="AX145" i="2"/>
  <c r="AX348" i="2"/>
  <c r="AX226" i="2"/>
  <c r="AX500" i="2"/>
  <c r="AX550" i="2"/>
  <c r="AX576" i="2"/>
  <c r="AX651" i="2"/>
  <c r="AX18" i="2"/>
  <c r="AX170" i="2"/>
  <c r="AX100" i="2"/>
  <c r="AX138" i="2"/>
  <c r="AX197" i="2"/>
  <c r="AX230" i="2"/>
  <c r="AX246" i="2"/>
  <c r="AX322" i="2"/>
  <c r="AX413" i="2"/>
  <c r="AX433" i="2"/>
  <c r="AX516" i="2"/>
  <c r="AX693" i="2"/>
  <c r="AX739" i="2"/>
  <c r="BA769" i="2"/>
  <c r="AX61" i="2"/>
  <c r="AX40" i="2"/>
  <c r="AX157" i="2"/>
  <c r="AX144" i="2"/>
  <c r="AX309" i="2"/>
  <c r="AX321" i="2"/>
  <c r="AX252" i="2"/>
  <c r="AX347" i="2"/>
  <c r="AX494" i="2"/>
  <c r="AX447" i="2"/>
  <c r="AX559" i="2"/>
  <c r="AX639" i="2"/>
  <c r="AX764" i="2"/>
  <c r="AS754" i="2"/>
  <c r="AS559" i="2"/>
  <c r="AS98" i="2"/>
  <c r="AS275" i="2"/>
  <c r="AS162" i="2"/>
  <c r="AS296" i="2"/>
  <c r="AS192" i="2"/>
  <c r="AS489" i="2"/>
  <c r="AS685" i="2"/>
  <c r="AS33" i="2"/>
  <c r="AS772" i="2"/>
  <c r="AS369" i="2"/>
  <c r="AS735" i="2"/>
  <c r="AS639" i="2"/>
  <c r="AS232" i="2"/>
  <c r="AS591" i="2"/>
  <c r="AS505" i="2"/>
  <c r="AS653" i="2"/>
  <c r="AS238" i="2"/>
  <c r="AS85" i="2"/>
  <c r="AS270" i="2"/>
  <c r="AS627" i="2"/>
  <c r="AS130" i="2"/>
  <c r="AS709" i="2"/>
  <c r="AS200" i="2"/>
  <c r="AS621" i="2"/>
  <c r="AS426" i="2"/>
  <c r="AS582" i="2"/>
  <c r="AS92" i="2"/>
  <c r="AS103" i="2"/>
  <c r="AS674" i="2"/>
  <c r="AS51" i="2"/>
  <c r="AS567" i="2"/>
  <c r="AS599" i="2"/>
  <c r="AS361" i="2"/>
  <c r="AS698" i="2"/>
  <c r="AS495" i="2"/>
  <c r="AS518" i="2"/>
  <c r="AS641" i="2"/>
  <c r="AS276" i="2"/>
  <c r="AS485" i="2"/>
  <c r="AS453" i="2"/>
  <c r="AS496" i="2"/>
  <c r="AS326" i="2"/>
  <c r="AS244" i="2"/>
  <c r="AS743" i="2"/>
  <c r="AS131" i="2"/>
  <c r="AS34" i="2"/>
  <c r="AS37" i="2"/>
  <c r="AS197" i="2"/>
  <c r="AS469" i="2"/>
  <c r="AX67" i="2"/>
  <c r="AX161" i="2"/>
  <c r="AX183" i="2"/>
  <c r="AX412" i="2"/>
  <c r="AX209" i="2"/>
  <c r="AX308" i="2"/>
  <c r="AX351" i="2"/>
  <c r="AX584" i="2"/>
  <c r="AX465" i="2"/>
  <c r="AX619" i="2"/>
  <c r="AX654" i="2"/>
  <c r="AX772" i="2"/>
  <c r="AS508" i="2"/>
  <c r="AS418" i="2"/>
  <c r="AS282" i="2"/>
  <c r="AS19" i="2"/>
  <c r="AS692" i="2"/>
  <c r="AS583" i="2"/>
  <c r="AS399" i="2"/>
  <c r="AS201" i="2"/>
  <c r="AS217" i="2"/>
  <c r="AS553" i="2"/>
  <c r="AS187" i="2"/>
  <c r="AS31" i="2"/>
  <c r="AS285" i="2"/>
  <c r="AS457" i="2"/>
  <c r="AS491" i="2"/>
  <c r="AS640" i="2"/>
  <c r="AS156" i="2"/>
  <c r="AS596" i="2"/>
  <c r="AS649" i="2"/>
  <c r="AS323" i="2"/>
  <c r="AS750" i="2"/>
  <c r="AS300" i="2"/>
  <c r="AS592" i="2"/>
  <c r="AS319" i="2"/>
  <c r="AS613" i="2"/>
  <c r="AS301" i="2"/>
  <c r="AS118" i="2"/>
  <c r="AS490" i="2"/>
  <c r="AS424" i="2"/>
  <c r="AS356" i="2"/>
  <c r="AS349" i="2"/>
  <c r="AS302" i="2"/>
  <c r="AS612" i="2"/>
  <c r="AS437" i="2"/>
  <c r="AS96" i="2"/>
  <c r="AS245" i="2"/>
  <c r="AS537" i="2"/>
  <c r="AS656" i="2"/>
  <c r="AS129" i="2"/>
  <c r="AS70" i="2"/>
  <c r="AS40" i="2"/>
  <c r="AS195" i="2"/>
  <c r="AS333" i="2"/>
  <c r="AS460" i="2"/>
  <c r="AS28" i="2"/>
  <c r="AS665" i="2"/>
  <c r="N719" i="2"/>
  <c r="AR11" i="2"/>
  <c r="AX22" i="2"/>
  <c r="AX129" i="2"/>
  <c r="AX50" i="2"/>
  <c r="AX200" i="2"/>
  <c r="AX148" i="2"/>
  <c r="AX111" i="2"/>
  <c r="AX323" i="2"/>
  <c r="AX219" i="2"/>
  <c r="AX271" i="2"/>
  <c r="AX262" i="2"/>
  <c r="AX445" i="2"/>
  <c r="AX600" i="2"/>
  <c r="AX488" i="2"/>
  <c r="AX594" i="2"/>
  <c r="AX572" i="2"/>
  <c r="AX573" i="2"/>
  <c r="AX697" i="2"/>
  <c r="AX716" i="2"/>
  <c r="AX453" i="2"/>
  <c r="AX485" i="2"/>
  <c r="AX466" i="2"/>
  <c r="AX625" i="2"/>
  <c r="AX729" i="2"/>
  <c r="AX744" i="2"/>
  <c r="AX730" i="2"/>
  <c r="AX731" i="2"/>
  <c r="AX704" i="2"/>
  <c r="AX628" i="2"/>
  <c r="AX606" i="2"/>
  <c r="AX615" i="2"/>
  <c r="AX464" i="2"/>
  <c r="AX555" i="2"/>
  <c r="AX475" i="2"/>
  <c r="AX566" i="2"/>
  <c r="AX670" i="2"/>
  <c r="AX427" i="2"/>
  <c r="AX525" i="2"/>
  <c r="AX444" i="2"/>
  <c r="AX408" i="2"/>
  <c r="AX361" i="2"/>
  <c r="AX320" i="2"/>
  <c r="AX490" i="2"/>
  <c r="AX306" i="2"/>
  <c r="AX240" i="2"/>
  <c r="AX251" i="2"/>
  <c r="AX265" i="2"/>
  <c r="AX442" i="2"/>
  <c r="AX282" i="2"/>
  <c r="AX195" i="2"/>
  <c r="AX95" i="2"/>
  <c r="AX181" i="2"/>
  <c r="AX132" i="2"/>
  <c r="AX368" i="2"/>
  <c r="AX155" i="2"/>
  <c r="AX139" i="2"/>
  <c r="AX119" i="2"/>
  <c r="AX137" i="2"/>
  <c r="AX41" i="2"/>
  <c r="AX35" i="2"/>
  <c r="AX34" i="2"/>
  <c r="AX703" i="2"/>
  <c r="AX727" i="2"/>
  <c r="AX672" i="2"/>
  <c r="AX696" i="2"/>
  <c r="AX604" i="2"/>
  <c r="AX578" i="2"/>
  <c r="AX454" i="2"/>
  <c r="AX553" i="2"/>
  <c r="AX446" i="2"/>
  <c r="AX537" i="2"/>
  <c r="AX580" i="2"/>
  <c r="AX423" i="2"/>
  <c r="AX621" i="2"/>
  <c r="AX476" i="2"/>
  <c r="AX400" i="2"/>
  <c r="AX560" i="2"/>
  <c r="AX299" i="2"/>
  <c r="AX393" i="2"/>
  <c r="AX283" i="2"/>
  <c r="AX236" i="2"/>
  <c r="AX247" i="2"/>
  <c r="AX407" i="2"/>
  <c r="AX352" i="2"/>
  <c r="AX278" i="2"/>
  <c r="AX162" i="2"/>
  <c r="AX311" i="2"/>
  <c r="AX177" i="2"/>
  <c r="AX128" i="2"/>
  <c r="AX313" i="2"/>
  <c r="AX112" i="2"/>
  <c r="AX75" i="2"/>
  <c r="AX82" i="2"/>
  <c r="AX86" i="2"/>
  <c r="AX117" i="2"/>
  <c r="AX31" i="2"/>
  <c r="AX51" i="2"/>
  <c r="AX773" i="2"/>
  <c r="AX762" i="2"/>
  <c r="AX664" i="2"/>
  <c r="AX676" i="2"/>
  <c r="AX579" i="2"/>
  <c r="AX567" i="2"/>
  <c r="AX692" i="2"/>
  <c r="AX522" i="2"/>
  <c r="AX687" i="2"/>
  <c r="AX533" i="2"/>
  <c r="AX700" i="2"/>
  <c r="AX390" i="2"/>
  <c r="AX586" i="2"/>
  <c r="AX428" i="2"/>
  <c r="AX638" i="2"/>
  <c r="AX399" i="2"/>
  <c r="AX293" i="2"/>
  <c r="AX358" i="2"/>
  <c r="AX277" i="2"/>
  <c r="AX417" i="2"/>
  <c r="AX241" i="2"/>
  <c r="AX294" i="2"/>
  <c r="AX336" i="2"/>
  <c r="AX272" i="2"/>
  <c r="AX156" i="2"/>
  <c r="AX214" i="2"/>
  <c r="AX171" i="2"/>
  <c r="AX122" i="2"/>
  <c r="AX296" i="2"/>
  <c r="AX106" i="2"/>
  <c r="AX56" i="2"/>
  <c r="AX125" i="2"/>
  <c r="AX180" i="2"/>
  <c r="AX149" i="2"/>
  <c r="AX55" i="2"/>
  <c r="AX32" i="2"/>
  <c r="AX752" i="2"/>
  <c r="AX771" i="2"/>
  <c r="AX702" i="2"/>
  <c r="AX656" i="2"/>
  <c r="AX668" i="2"/>
  <c r="AX575" i="2"/>
  <c r="AX538" i="2"/>
  <c r="AX683" i="2"/>
  <c r="AX518" i="2"/>
  <c r="AX612" i="2"/>
  <c r="AX510" i="2"/>
  <c r="AX496" i="2"/>
  <c r="AX386" i="2"/>
  <c r="AX637" i="2"/>
  <c r="AX418" i="2"/>
  <c r="AX482" i="2"/>
  <c r="AX389" i="2"/>
  <c r="AX264" i="2"/>
  <c r="AX339" i="2"/>
  <c r="AX273" i="2"/>
  <c r="AX373" i="2"/>
  <c r="AX237" i="2"/>
  <c r="AX232" i="2"/>
  <c r="AX332" i="2"/>
  <c r="AX261" i="2"/>
  <c r="AX113" i="2"/>
  <c r="AX370" i="2"/>
  <c r="AX167" i="2"/>
  <c r="AX118" i="2"/>
  <c r="AX220" i="2"/>
  <c r="AX102" i="2"/>
  <c r="AX52" i="2"/>
  <c r="AX69" i="2"/>
  <c r="AX141" i="2"/>
  <c r="AX78" i="2"/>
  <c r="AX19" i="2"/>
  <c r="AX29" i="2"/>
  <c r="AX186" i="2"/>
  <c r="AX379" i="2"/>
  <c r="AX77" i="2"/>
  <c r="AX187" i="2"/>
  <c r="AX233" i="2"/>
  <c r="AX203" i="2"/>
  <c r="AX300" i="2"/>
  <c r="AX312" i="2"/>
  <c r="AX326" i="2"/>
  <c r="AX419" i="2"/>
  <c r="AX650" i="2"/>
  <c r="AX463" i="2"/>
  <c r="AX487" i="2"/>
  <c r="AX470" i="2"/>
  <c r="AX684" i="2"/>
  <c r="AX733" i="2"/>
  <c r="AX736" i="2"/>
  <c r="V638" i="2"/>
  <c r="AS219" i="2"/>
  <c r="J97" i="2"/>
  <c r="H97" i="2" s="1"/>
  <c r="G97" i="3" s="1"/>
  <c r="K97" i="3" s="1"/>
  <c r="BA378" i="2"/>
  <c r="AZ376" i="2"/>
  <c r="AZ548" i="2"/>
  <c r="BA550" i="2"/>
  <c r="BA566" i="2"/>
  <c r="AZ564" i="2"/>
  <c r="AZ644" i="2"/>
  <c r="BA646" i="2"/>
  <c r="BA682" i="2"/>
  <c r="AZ680" i="2"/>
  <c r="BA721" i="2"/>
  <c r="AZ719" i="2"/>
  <c r="AZ421" i="2"/>
  <c r="BA423" i="2"/>
  <c r="AZ63" i="2"/>
  <c r="BA65" i="2"/>
  <c r="AZ151" i="2"/>
  <c r="BA153" i="2"/>
  <c r="AZ255" i="2"/>
  <c r="BA257" i="2"/>
  <c r="AZ513" i="2"/>
  <c r="BA515" i="2"/>
  <c r="AZ589" i="2"/>
  <c r="BA591" i="2"/>
  <c r="AS335" i="2"/>
  <c r="AS170" i="2"/>
  <c r="J15" i="3"/>
  <c r="J11" i="3" s="1"/>
  <c r="AC11" i="2"/>
  <c r="Z11" i="2"/>
  <c r="AA15" i="2"/>
  <c r="AZ207" i="2"/>
  <c r="BA209" i="2"/>
  <c r="AZ706" i="2"/>
  <c r="BA708" i="2"/>
  <c r="J56" i="2"/>
  <c r="H56" i="2" s="1"/>
  <c r="G56" i="3" s="1"/>
  <c r="K56" i="3" s="1"/>
  <c r="AS157" i="2"/>
  <c r="AS427" i="2"/>
  <c r="AS299" i="2"/>
  <c r="AS693" i="2"/>
  <c r="AS740" i="2"/>
  <c r="AS263" i="2"/>
  <c r="AS587" i="2"/>
  <c r="AS75" i="2"/>
  <c r="AS32" i="2"/>
  <c r="AS45" i="2"/>
  <c r="AS358" i="2"/>
  <c r="AS415" i="2"/>
  <c r="AS379" i="2"/>
  <c r="AS444" i="2"/>
  <c r="AS482" i="2"/>
  <c r="AS325" i="2"/>
  <c r="AS284" i="2"/>
  <c r="AS694" i="2"/>
  <c r="AS438" i="2"/>
  <c r="AS600" i="2"/>
  <c r="AS557" i="2"/>
  <c r="AS295" i="2"/>
  <c r="AS637" i="2"/>
  <c r="AS436" i="2"/>
  <c r="AS77" i="2"/>
  <c r="AS237" i="2"/>
  <c r="AS555" i="2"/>
  <c r="AS721" i="2"/>
  <c r="AS291" i="2"/>
  <c r="AS471" i="2"/>
  <c r="AS391" i="2"/>
  <c r="AS595" i="2"/>
  <c r="AS443" i="2"/>
  <c r="AS708" i="2"/>
  <c r="AS196" i="2"/>
  <c r="AS264" i="2"/>
  <c r="AS732" i="2"/>
  <c r="AS593" i="2"/>
  <c r="AS74" i="2"/>
  <c r="AS278" i="2"/>
  <c r="AS403" i="2"/>
  <c r="AS747" i="2"/>
  <c r="AS389" i="2"/>
  <c r="AS133" i="2"/>
  <c r="AS573" i="2"/>
  <c r="AS632" i="2"/>
  <c r="AS269" i="2"/>
  <c r="AS744" i="2"/>
  <c r="AS604" i="2"/>
  <c r="AS677" i="2"/>
  <c r="AS767" i="2"/>
  <c r="AS699" i="2"/>
  <c r="AS724" i="2"/>
  <c r="AS17" i="2"/>
  <c r="AS139" i="2"/>
  <c r="AS374" i="2"/>
  <c r="AS536" i="2"/>
  <c r="AS373" i="2"/>
  <c r="AS556" i="2"/>
  <c r="AS198" i="2"/>
  <c r="AS461" i="2"/>
  <c r="AS509" i="2"/>
  <c r="AS395" i="2"/>
  <c r="AS273" i="2"/>
  <c r="AS365" i="2"/>
  <c r="AS147" i="2"/>
  <c r="AS346" i="2"/>
  <c r="AS294" i="2"/>
  <c r="AS112" i="2"/>
  <c r="AS253" i="2"/>
  <c r="AS539" i="2"/>
  <c r="AS702" i="2"/>
  <c r="AS56" i="2"/>
  <c r="AS30" i="2"/>
  <c r="AS171" i="2"/>
  <c r="AS408" i="2"/>
  <c r="AS59" i="2"/>
  <c r="AS109" i="2"/>
  <c r="AS324" i="2"/>
  <c r="AS618" i="2"/>
  <c r="AS562" i="2"/>
  <c r="AS672" i="2"/>
  <c r="AS551" i="2"/>
  <c r="AS597" i="2"/>
  <c r="AS580" i="2"/>
  <c r="AS161" i="2"/>
  <c r="AS411" i="2"/>
  <c r="AS636" i="2"/>
  <c r="AS550" i="2"/>
  <c r="AS614" i="2"/>
  <c r="AS410" i="2"/>
  <c r="AS315" i="2"/>
  <c r="AS659" i="2"/>
  <c r="AS585" i="2"/>
  <c r="AS280" i="2"/>
  <c r="AS738" i="2"/>
  <c r="AS26" i="2"/>
  <c r="AS517" i="2"/>
  <c r="AS350" i="2"/>
  <c r="AS412" i="2"/>
  <c r="AS435" i="2"/>
  <c r="AS405" i="2"/>
  <c r="AS402" i="2"/>
  <c r="AS53" i="2"/>
  <c r="AS334" i="2"/>
  <c r="AS535" i="2"/>
  <c r="AS486" i="2"/>
  <c r="AS734" i="2"/>
  <c r="AS179" i="2"/>
  <c r="AS722" i="2"/>
  <c r="AS290" i="2"/>
  <c r="AS660" i="2"/>
  <c r="AS752" i="2"/>
  <c r="AS113" i="2"/>
  <c r="AS764" i="2"/>
  <c r="AS343" i="2"/>
  <c r="AS578" i="2"/>
  <c r="AS172" i="2"/>
  <c r="AS60" i="2"/>
  <c r="AS212" i="2"/>
  <c r="AS339" i="2"/>
  <c r="AS483" i="2"/>
  <c r="AS552" i="2"/>
  <c r="AS124" i="2"/>
  <c r="AS69" i="2"/>
  <c r="AS155" i="2"/>
  <c r="AS522" i="2"/>
  <c r="AS364" i="2"/>
  <c r="AS617" i="2"/>
  <c r="AS347" i="2"/>
  <c r="AS445" i="2"/>
  <c r="AS520" i="2"/>
  <c r="AS216" i="2"/>
  <c r="AS239" i="2"/>
  <c r="AS463" i="2"/>
  <c r="AS727" i="2"/>
  <c r="AS205" i="2"/>
  <c r="AS458" i="2"/>
  <c r="AS669" i="2"/>
  <c r="AS332" i="2"/>
  <c r="AS666" i="2"/>
  <c r="AS366" i="2"/>
  <c r="AS682" i="2"/>
  <c r="AS46" i="2"/>
  <c r="AS713" i="2"/>
  <c r="AS35" i="2"/>
  <c r="AS66" i="2"/>
  <c r="AS274" i="2"/>
  <c r="AS307" i="2"/>
  <c r="AS507" i="2"/>
  <c r="AS716" i="2"/>
  <c r="AS314" i="2"/>
  <c r="AS127" i="2"/>
  <c r="AS691" i="2"/>
  <c r="AS105" i="2"/>
  <c r="AS313" i="2"/>
  <c r="AS371" i="2"/>
  <c r="AS135" i="2"/>
  <c r="AS213" i="2"/>
  <c r="AS320" i="2"/>
  <c r="AS153" i="2"/>
  <c r="AS101" i="2"/>
  <c r="AS168" i="2"/>
  <c r="AS242" i="2"/>
  <c r="AS108" i="2"/>
  <c r="AS251" i="2"/>
  <c r="AS753" i="2"/>
  <c r="AS586" i="2"/>
  <c r="AS770" i="2"/>
  <c r="AS261" i="2"/>
  <c r="AS49" i="2"/>
  <c r="AS737" i="2"/>
  <c r="AS655" i="2"/>
  <c r="AS773" i="2"/>
  <c r="AS321" i="2"/>
  <c r="AS344" i="2"/>
  <c r="AS224" i="2"/>
  <c r="AS762" i="2"/>
  <c r="AS61" i="2"/>
  <c r="AS141" i="2"/>
  <c r="AS388" i="2"/>
  <c r="AS545" i="2"/>
  <c r="AS409" i="2"/>
  <c r="AS533" i="2"/>
  <c r="AS175" i="2"/>
  <c r="AS272" i="2"/>
  <c r="AS351" i="2"/>
  <c r="AS125" i="2"/>
  <c r="AS257" i="2"/>
  <c r="AS188" i="2"/>
  <c r="AS97" i="2"/>
  <c r="AS178" i="2"/>
  <c r="AS158" i="2"/>
  <c r="AS231" i="2"/>
  <c r="AS541" i="2"/>
  <c r="AS723" i="2"/>
  <c r="AS83" i="2"/>
  <c r="AS498" i="2"/>
  <c r="AS730" i="2"/>
  <c r="AS357" i="2"/>
  <c r="AS401" i="2"/>
  <c r="AS742" i="2"/>
  <c r="AS88" i="2"/>
  <c r="AS230" i="2"/>
  <c r="AS652" i="2"/>
  <c r="AS413" i="2"/>
  <c r="AS79" i="2"/>
  <c r="AS310" i="2"/>
  <c r="AS459" i="2"/>
  <c r="AS757" i="2"/>
  <c r="AS271" i="2"/>
  <c r="AS204" i="2"/>
  <c r="AS697" i="2"/>
  <c r="AS363" i="2"/>
  <c r="AS554" i="2"/>
  <c r="AS527" i="2"/>
  <c r="AS623" i="2"/>
  <c r="AS642" i="2"/>
  <c r="AS236" i="2"/>
  <c r="AS442" i="2"/>
  <c r="AS538" i="2"/>
  <c r="AS494" i="2"/>
  <c r="AS384" i="2"/>
  <c r="AS526" i="2"/>
  <c r="AS477" i="2"/>
  <c r="AZ24" i="2"/>
  <c r="BA26" i="2"/>
  <c r="AZ530" i="2"/>
  <c r="BA532" i="2"/>
  <c r="BA331" i="2"/>
  <c r="AZ329" i="2"/>
  <c r="BA399" i="2"/>
  <c r="AZ397" i="2"/>
  <c r="AZ602" i="2"/>
  <c r="BA604" i="2"/>
  <c r="BA767" i="2"/>
  <c r="AX21" i="2"/>
  <c r="AX37" i="2"/>
  <c r="AX20" i="2"/>
  <c r="AX45" i="2"/>
  <c r="AX123" i="2"/>
  <c r="AX68" i="2"/>
  <c r="AX172" i="2"/>
  <c r="AX178" i="2"/>
  <c r="AX76" i="2"/>
  <c r="AX168" i="2"/>
  <c r="AX54" i="2"/>
  <c r="AX235" i="2"/>
  <c r="AX104" i="2"/>
  <c r="AX159" i="2"/>
  <c r="AX231" i="2"/>
  <c r="AX415" i="2"/>
  <c r="AX120" i="2"/>
  <c r="AX136" i="2"/>
  <c r="AX169" i="2"/>
  <c r="AX185" i="2"/>
  <c r="AX443" i="2"/>
  <c r="AX99" i="2"/>
  <c r="AX154" i="2"/>
  <c r="AX212" i="2"/>
  <c r="AX270" i="2"/>
  <c r="AX286" i="2"/>
  <c r="AX334" i="2"/>
  <c r="AX201" i="2"/>
  <c r="AX234" i="2"/>
  <c r="AX346" i="2"/>
  <c r="AX239" i="2"/>
  <c r="AX292" i="2"/>
  <c r="AX383" i="2"/>
  <c r="AX244" i="2"/>
  <c r="AX275" i="2"/>
  <c r="AX310" i="2"/>
  <c r="AX356" i="2"/>
  <c r="AX521" i="2"/>
  <c r="AX291" i="2"/>
  <c r="AX324" i="2"/>
  <c r="AX395" i="2"/>
  <c r="AX381" i="2"/>
  <c r="AX484" i="2"/>
  <c r="AX416" i="2"/>
  <c r="AX424" i="2"/>
  <c r="AX552" i="2"/>
  <c r="AX574" i="2"/>
  <c r="AX598" i="2"/>
  <c r="AX388" i="2"/>
  <c r="AX431" i="2"/>
  <c r="AX620" i="2"/>
  <c r="AX691" i="2"/>
  <c r="AX467" i="2"/>
  <c r="AX535" i="2"/>
  <c r="AX570" i="2"/>
  <c r="AX607" i="2"/>
  <c r="AX448" i="2"/>
  <c r="AX489" i="2"/>
  <c r="AX520" i="2"/>
  <c r="AX557" i="2"/>
  <c r="AX708" i="2"/>
  <c r="AX452" i="2"/>
  <c r="AX468" i="2"/>
  <c r="AX536" i="2"/>
  <c r="AX595" i="2"/>
  <c r="AX677" i="2"/>
  <c r="AX577" i="2"/>
  <c r="AX608" i="2"/>
  <c r="AX642" i="2"/>
  <c r="AX688" i="2"/>
  <c r="AX649" i="2"/>
  <c r="AX713" i="2"/>
  <c r="AX695" i="2"/>
  <c r="AX737" i="2"/>
  <c r="AX710" i="2"/>
  <c r="AX735" i="2"/>
  <c r="AX714" i="2"/>
  <c r="AX701" i="2"/>
  <c r="AX734" i="2"/>
  <c r="AX750" i="2"/>
  <c r="AZ115" i="2"/>
  <c r="BA117" i="2"/>
  <c r="BA269" i="2"/>
  <c r="AZ267" i="2"/>
  <c r="AZ610" i="2"/>
  <c r="BA612" i="2"/>
  <c r="AZ473" i="2"/>
  <c r="BA475" i="2"/>
  <c r="AZ760" i="2"/>
  <c r="BA762" i="2"/>
  <c r="BA771" i="2"/>
  <c r="AX315" i="2"/>
  <c r="AX28" i="2"/>
  <c r="AX47" i="2"/>
  <c r="AX74" i="2"/>
  <c r="AX182" i="2"/>
  <c r="AX84" i="2"/>
  <c r="AX188" i="2"/>
  <c r="AX202" i="2"/>
  <c r="AX143" i="2"/>
  <c r="AX184" i="2"/>
  <c r="AX58" i="2"/>
  <c r="AX92" i="2"/>
  <c r="AX108" i="2"/>
  <c r="AX192" i="2"/>
  <c r="AX218" i="2"/>
  <c r="AX79" i="2"/>
  <c r="AX124" i="2"/>
  <c r="AX140" i="2"/>
  <c r="AX173" i="2"/>
  <c r="AX216" i="2"/>
  <c r="AX263" i="2"/>
  <c r="AX103" i="2"/>
  <c r="AX158" i="2"/>
  <c r="AX298" i="2"/>
  <c r="AX274" i="2"/>
  <c r="AX350" i="2"/>
  <c r="AX338" i="2"/>
  <c r="AX205" i="2"/>
  <c r="AX302" i="2"/>
  <c r="AX211" i="2"/>
  <c r="AX243" i="2"/>
  <c r="AX372" i="2"/>
  <c r="AX426" i="2"/>
  <c r="AX248" i="2"/>
  <c r="AX279" i="2"/>
  <c r="AX314" i="2"/>
  <c r="AX367" i="2"/>
  <c r="AX362" i="2"/>
  <c r="AX295" i="2"/>
  <c r="AX343" i="2"/>
  <c r="AX406" i="2"/>
  <c r="AX404" i="2"/>
  <c r="AX387" i="2"/>
  <c r="AX652" i="2"/>
  <c r="AX432" i="2"/>
  <c r="AX519" i="2"/>
  <c r="AX591" i="2"/>
  <c r="AX666" i="2"/>
  <c r="AX392" i="2"/>
  <c r="AX435" i="2"/>
  <c r="AX515" i="2"/>
  <c r="AX455" i="2"/>
  <c r="AX471" i="2"/>
  <c r="AX539" i="2"/>
  <c r="AX596" i="2"/>
  <c r="AX632" i="2"/>
  <c r="AX477" i="2"/>
  <c r="AX493" i="2"/>
  <c r="AX524" i="2"/>
  <c r="AX561" i="2"/>
  <c r="AX597" i="2"/>
  <c r="AX456" i="2"/>
  <c r="AX505" i="2"/>
  <c r="AX540" i="2"/>
  <c r="AX671" i="2"/>
  <c r="AX694" i="2"/>
  <c r="AX581" i="2"/>
  <c r="AX633" i="2"/>
  <c r="AX669" i="2"/>
  <c r="AX709" i="2"/>
  <c r="AX653" i="2"/>
  <c r="AX657" i="2"/>
  <c r="AX717" i="2"/>
  <c r="AX745" i="2"/>
  <c r="AX770" i="2"/>
  <c r="AX743" i="2"/>
  <c r="AX763" i="2"/>
  <c r="AX722" i="2"/>
  <c r="AX738" i="2"/>
  <c r="AX754" i="2"/>
  <c r="Y15" i="2"/>
  <c r="X11" i="2"/>
  <c r="AZ15" i="2"/>
  <c r="BA17" i="2"/>
  <c r="BA45" i="2"/>
  <c r="AZ43" i="2"/>
  <c r="AZ164" i="2"/>
  <c r="BA166" i="2"/>
  <c r="AZ341" i="2"/>
  <c r="BA343" i="2"/>
  <c r="AZ317" i="2"/>
  <c r="BA319" i="2"/>
  <c r="BA306" i="2"/>
  <c r="AZ304" i="2"/>
  <c r="BA442" i="2"/>
  <c r="AZ440" i="2"/>
  <c r="BA504" i="2"/>
  <c r="AZ502" i="2"/>
  <c r="AZ662" i="2"/>
  <c r="BA664" i="2"/>
  <c r="AX57" i="2"/>
  <c r="AX121" i="2"/>
  <c r="AX307" i="2"/>
  <c r="AX38" i="2"/>
  <c r="AX363" i="2"/>
  <c r="AX204" i="2"/>
  <c r="AX60" i="2"/>
  <c r="AX94" i="2"/>
  <c r="AX110" i="2"/>
  <c r="AX194" i="2"/>
  <c r="AX229" i="2"/>
  <c r="AX81" i="2"/>
  <c r="AX126" i="2"/>
  <c r="AX142" i="2"/>
  <c r="AX175" i="2"/>
  <c r="AX225" i="2"/>
  <c r="AX290" i="2"/>
  <c r="AX105" i="2"/>
  <c r="AX160" i="2"/>
  <c r="AX210" i="2"/>
  <c r="AX276" i="2"/>
  <c r="AX414" i="2"/>
  <c r="AX344" i="2"/>
  <c r="AX224" i="2"/>
  <c r="AX366" i="2"/>
  <c r="AX213" i="2"/>
  <c r="AX245" i="2"/>
  <c r="AX498" i="2"/>
  <c r="AX618" i="2"/>
  <c r="AX250" i="2"/>
  <c r="AX281" i="2"/>
  <c r="AX331" i="2"/>
  <c r="AX371" i="2"/>
  <c r="AX434" i="2"/>
  <c r="AX297" i="2"/>
  <c r="AX345" i="2"/>
  <c r="AX438" i="2"/>
  <c r="AX478" i="2"/>
  <c r="AX391" i="2"/>
  <c r="AX402" i="2"/>
  <c r="AX436" i="2"/>
  <c r="AX527" i="2"/>
  <c r="AX616" i="2"/>
  <c r="AX378" i="2"/>
  <c r="AX394" i="2"/>
  <c r="AX437" i="2"/>
  <c r="AX523" i="2"/>
  <c r="AX457" i="2"/>
  <c r="AX504" i="2"/>
  <c r="AX541" i="2"/>
  <c r="AX614" i="2"/>
  <c r="AX640" i="2"/>
  <c r="AX479" i="2"/>
  <c r="AX495" i="2"/>
  <c r="AX526" i="2"/>
  <c r="AX592" i="2"/>
  <c r="AX617" i="2"/>
  <c r="AX458" i="2"/>
  <c r="AX507" i="2"/>
  <c r="AX542" i="2"/>
  <c r="AX682" i="2"/>
  <c r="AX712" i="2"/>
  <c r="AX583" i="2"/>
  <c r="AX636" i="2"/>
  <c r="AX675" i="2"/>
  <c r="AX622" i="2"/>
  <c r="AX655" i="2"/>
  <c r="AX658" i="2"/>
  <c r="AX766" i="2"/>
  <c r="AX749" i="2"/>
  <c r="AX715" i="2"/>
  <c r="AX747" i="2"/>
  <c r="AX765" i="2"/>
  <c r="AX724" i="2"/>
  <c r="AX740" i="2"/>
  <c r="AX756" i="2"/>
  <c r="L10" i="4"/>
  <c r="BA74" i="2"/>
  <c r="AZ72" i="2"/>
  <c r="BA92" i="2"/>
  <c r="AZ90" i="2"/>
  <c r="AZ190" i="2"/>
  <c r="BA192" i="2"/>
  <c r="AZ222" i="2"/>
  <c r="BA224" i="2"/>
  <c r="AZ288" i="2"/>
  <c r="BA290" i="2"/>
  <c r="BA632" i="2"/>
  <c r="AZ630" i="2"/>
  <c r="AL773" i="2"/>
  <c r="AM773" i="2" s="1"/>
  <c r="AL771" i="2"/>
  <c r="AM771" i="2" s="1"/>
  <c r="AL769" i="2"/>
  <c r="AM769" i="2" s="1"/>
  <c r="AL767" i="2"/>
  <c r="AM767" i="2" s="1"/>
  <c r="AL765" i="2"/>
  <c r="AM765" i="2" s="1"/>
  <c r="AL763" i="2"/>
  <c r="AM763" i="2" s="1"/>
  <c r="AL716" i="2"/>
  <c r="AM716" i="2" s="1"/>
  <c r="AL714" i="2"/>
  <c r="AM714" i="2" s="1"/>
  <c r="AL712" i="2"/>
  <c r="AM712" i="2" s="1"/>
  <c r="AL710" i="2"/>
  <c r="AM710" i="2" s="1"/>
  <c r="AL708" i="2"/>
  <c r="AM708" i="2" s="1"/>
  <c r="AL757" i="2"/>
  <c r="AM757" i="2" s="1"/>
  <c r="AL755" i="2"/>
  <c r="AM755" i="2" s="1"/>
  <c r="AL753" i="2"/>
  <c r="AM753" i="2" s="1"/>
  <c r="AL751" i="2"/>
  <c r="AM751" i="2" s="1"/>
  <c r="AL749" i="2"/>
  <c r="AM749" i="2" s="1"/>
  <c r="AL747" i="2"/>
  <c r="AM747" i="2" s="1"/>
  <c r="AL745" i="2"/>
  <c r="AM745" i="2" s="1"/>
  <c r="AL743" i="2"/>
  <c r="AM743" i="2" s="1"/>
  <c r="AL741" i="2"/>
  <c r="AM741" i="2" s="1"/>
  <c r="AL739" i="2"/>
  <c r="AM739" i="2" s="1"/>
  <c r="AL737" i="2"/>
  <c r="AM737" i="2" s="1"/>
  <c r="AL735" i="2"/>
  <c r="AM735" i="2" s="1"/>
  <c r="AL733" i="2"/>
  <c r="AM733" i="2" s="1"/>
  <c r="AL731" i="2"/>
  <c r="AM731" i="2" s="1"/>
  <c r="AL729" i="2"/>
  <c r="AM729" i="2" s="1"/>
  <c r="AL727" i="2"/>
  <c r="AM727" i="2" s="1"/>
  <c r="AL725" i="2"/>
  <c r="AM725" i="2" s="1"/>
  <c r="AL723" i="2"/>
  <c r="AM723" i="2" s="1"/>
  <c r="AL721" i="2"/>
  <c r="AM721" i="2" s="1"/>
  <c r="AL709" i="2"/>
  <c r="AM709" i="2" s="1"/>
  <c r="AL703" i="2"/>
  <c r="AM703" i="2" s="1"/>
  <c r="AL701" i="2"/>
  <c r="AM701" i="2" s="1"/>
  <c r="AL766" i="2"/>
  <c r="AM766" i="2" s="1"/>
  <c r="AL756" i="2"/>
  <c r="AM756" i="2" s="1"/>
  <c r="AL752" i="2"/>
  <c r="AM752" i="2" s="1"/>
  <c r="AL748" i="2"/>
  <c r="AM748" i="2" s="1"/>
  <c r="AL744" i="2"/>
  <c r="AM744" i="2" s="1"/>
  <c r="AL740" i="2"/>
  <c r="AM740" i="2" s="1"/>
  <c r="AL736" i="2"/>
  <c r="AM736" i="2" s="1"/>
  <c r="AL732" i="2"/>
  <c r="AM732" i="2" s="1"/>
  <c r="AL728" i="2"/>
  <c r="AM728" i="2" s="1"/>
  <c r="AL724" i="2"/>
  <c r="AM724" i="2" s="1"/>
  <c r="AL700" i="2"/>
  <c r="AM700" i="2" s="1"/>
  <c r="AL698" i="2"/>
  <c r="AM698" i="2" s="1"/>
  <c r="AL696" i="2"/>
  <c r="AM696" i="2" s="1"/>
  <c r="AL694" i="2"/>
  <c r="AM694" i="2" s="1"/>
  <c r="AL692" i="2"/>
  <c r="AM692" i="2" s="1"/>
  <c r="AL690" i="2"/>
  <c r="AM690" i="2" s="1"/>
  <c r="AL688" i="2"/>
  <c r="AM688" i="2" s="1"/>
  <c r="AL686" i="2"/>
  <c r="AM686" i="2" s="1"/>
  <c r="AL717" i="2"/>
  <c r="AM717" i="2" s="1"/>
  <c r="AL704" i="2"/>
  <c r="AM704" i="2" s="1"/>
  <c r="AL715" i="2"/>
  <c r="AM715" i="2" s="1"/>
  <c r="AL754" i="2"/>
  <c r="AM754" i="2" s="1"/>
  <c r="AL722" i="2"/>
  <c r="AM722" i="2" s="1"/>
  <c r="AL675" i="2"/>
  <c r="AM675" i="2" s="1"/>
  <c r="AL667" i="2"/>
  <c r="AM667" i="2" s="1"/>
  <c r="AL772" i="2"/>
  <c r="AM772" i="2" s="1"/>
  <c r="AL742" i="2"/>
  <c r="AM742" i="2" s="1"/>
  <c r="AL691" i="2"/>
  <c r="AM691" i="2" s="1"/>
  <c r="AL676" i="2"/>
  <c r="AM676" i="2" s="1"/>
  <c r="AL668" i="2"/>
  <c r="AM668" i="2" s="1"/>
  <c r="AL641" i="2"/>
  <c r="AM641" i="2" s="1"/>
  <c r="AL639" i="2"/>
  <c r="AM639" i="2" s="1"/>
  <c r="AL637" i="2"/>
  <c r="AM637" i="2" s="1"/>
  <c r="AL635" i="2"/>
  <c r="AM635" i="2" s="1"/>
  <c r="AL633" i="2"/>
  <c r="AM633" i="2" s="1"/>
  <c r="AL738" i="2"/>
  <c r="AM738" i="2" s="1"/>
  <c r="AL713" i="2"/>
  <c r="AM713" i="2" s="1"/>
  <c r="AL697" i="2"/>
  <c r="AM697" i="2" s="1"/>
  <c r="AL671" i="2"/>
  <c r="AM671" i="2" s="1"/>
  <c r="AL762" i="2"/>
  <c r="AM762" i="2" s="1"/>
  <c r="AL750" i="2"/>
  <c r="AM750" i="2" s="1"/>
  <c r="AL726" i="2"/>
  <c r="AM726" i="2" s="1"/>
  <c r="AL682" i="2"/>
  <c r="AM682" i="2" s="1"/>
  <c r="AL677" i="2"/>
  <c r="AM677" i="2" s="1"/>
  <c r="AL664" i="2"/>
  <c r="AM664" i="2" s="1"/>
  <c r="AL652" i="2"/>
  <c r="AM652" i="2" s="1"/>
  <c r="AL649" i="2"/>
  <c r="AM649" i="2" s="1"/>
  <c r="AL634" i="2"/>
  <c r="AM634" i="2" s="1"/>
  <c r="AL626" i="2"/>
  <c r="AM626" i="2" s="1"/>
  <c r="AL770" i="2"/>
  <c r="AM770" i="2" s="1"/>
  <c r="AL758" i="2"/>
  <c r="AM758" i="2" s="1"/>
  <c r="AL670" i="2"/>
  <c r="AM670" i="2" s="1"/>
  <c r="AL646" i="2"/>
  <c r="AM646" i="2" s="1"/>
  <c r="AL623" i="2"/>
  <c r="AM623" i="2" s="1"/>
  <c r="AL619" i="2"/>
  <c r="AM619" i="2" s="1"/>
  <c r="AL617" i="2"/>
  <c r="AM617" i="2" s="1"/>
  <c r="AL615" i="2"/>
  <c r="AM615" i="2" s="1"/>
  <c r="AL613" i="2"/>
  <c r="AM613" i="2" s="1"/>
  <c r="AL600" i="2"/>
  <c r="AM600" i="2" s="1"/>
  <c r="AL598" i="2"/>
  <c r="AM598" i="2" s="1"/>
  <c r="AL596" i="2"/>
  <c r="AM596" i="2" s="1"/>
  <c r="AL594" i="2"/>
  <c r="AM594" i="2" s="1"/>
  <c r="AL592" i="2"/>
  <c r="AM592" i="2" s="1"/>
  <c r="AL768" i="2"/>
  <c r="AM768" i="2" s="1"/>
  <c r="AL730" i="2"/>
  <c r="AM730" i="2" s="1"/>
  <c r="AL702" i="2"/>
  <c r="AM702" i="2" s="1"/>
  <c r="AL699" i="2"/>
  <c r="AM699" i="2" s="1"/>
  <c r="AL685" i="2"/>
  <c r="AM685" i="2" s="1"/>
  <c r="AL673" i="2"/>
  <c r="AM673" i="2" s="1"/>
  <c r="AL653" i="2"/>
  <c r="AM653" i="2" s="1"/>
  <c r="AL638" i="2"/>
  <c r="AM638" i="2" s="1"/>
  <c r="AL684" i="2"/>
  <c r="AM684" i="2" s="1"/>
  <c r="AL672" i="2"/>
  <c r="AM672" i="2" s="1"/>
  <c r="AL669" i="2"/>
  <c r="AM669" i="2" s="1"/>
  <c r="AL642" i="2"/>
  <c r="AM642" i="2" s="1"/>
  <c r="AL621" i="2"/>
  <c r="AM621" i="2" s="1"/>
  <c r="AL674" i="2"/>
  <c r="AM674" i="2" s="1"/>
  <c r="AL622" i="2"/>
  <c r="AM622" i="2" s="1"/>
  <c r="AL616" i="2"/>
  <c r="AM616" i="2" s="1"/>
  <c r="AL582" i="2"/>
  <c r="AM582" i="2" s="1"/>
  <c r="AL576" i="2"/>
  <c r="AM576" i="2" s="1"/>
  <c r="AL573" i="2"/>
  <c r="AM573" i="2" s="1"/>
  <c r="AL561" i="2"/>
  <c r="AM561" i="2" s="1"/>
  <c r="AL559" i="2"/>
  <c r="AM559" i="2" s="1"/>
  <c r="AL557" i="2"/>
  <c r="AM557" i="2" s="1"/>
  <c r="AL555" i="2"/>
  <c r="AM555" i="2" s="1"/>
  <c r="AL553" i="2"/>
  <c r="AM553" i="2" s="1"/>
  <c r="AL551" i="2"/>
  <c r="AM551" i="2" s="1"/>
  <c r="AL528" i="2"/>
  <c r="AM528" i="2" s="1"/>
  <c r="AL526" i="2"/>
  <c r="AM526" i="2" s="1"/>
  <c r="AL524" i="2"/>
  <c r="AM524" i="2" s="1"/>
  <c r="AL522" i="2"/>
  <c r="AM522" i="2" s="1"/>
  <c r="AL520" i="2"/>
  <c r="AM520" i="2" s="1"/>
  <c r="AL518" i="2"/>
  <c r="AM518" i="2" s="1"/>
  <c r="AL516" i="2"/>
  <c r="AM516" i="2" s="1"/>
  <c r="AL499" i="2"/>
  <c r="AM499" i="2" s="1"/>
  <c r="AL497" i="2"/>
  <c r="AM497" i="2" s="1"/>
  <c r="AL495" i="2"/>
  <c r="AM495" i="2" s="1"/>
  <c r="AL493" i="2"/>
  <c r="AM493" i="2" s="1"/>
  <c r="AL491" i="2"/>
  <c r="AM491" i="2" s="1"/>
  <c r="AL489" i="2"/>
  <c r="AM489" i="2" s="1"/>
  <c r="AL487" i="2"/>
  <c r="AM487" i="2" s="1"/>
  <c r="AL485" i="2"/>
  <c r="AM485" i="2" s="1"/>
  <c r="AL483" i="2"/>
  <c r="AM483" i="2" s="1"/>
  <c r="AL481" i="2"/>
  <c r="AM481" i="2" s="1"/>
  <c r="AL479" i="2"/>
  <c r="AM479" i="2" s="1"/>
  <c r="AL477" i="2"/>
  <c r="AM477" i="2" s="1"/>
  <c r="AL475" i="2"/>
  <c r="AM475" i="2" s="1"/>
  <c r="AL734" i="2"/>
  <c r="AM734" i="2" s="1"/>
  <c r="AL618" i="2"/>
  <c r="AM618" i="2" s="1"/>
  <c r="AL591" i="2"/>
  <c r="AM591" i="2" s="1"/>
  <c r="AL584" i="2"/>
  <c r="AM584" i="2" s="1"/>
  <c r="AL570" i="2"/>
  <c r="AM570" i="2" s="1"/>
  <c r="AL746" i="2"/>
  <c r="AM746" i="2" s="1"/>
  <c r="AL695" i="2"/>
  <c r="AM695" i="2" s="1"/>
  <c r="AL666" i="2"/>
  <c r="AM666" i="2" s="1"/>
  <c r="AL655" i="2"/>
  <c r="AM655" i="2" s="1"/>
  <c r="AL654" i="2"/>
  <c r="AM654" i="2" s="1"/>
  <c r="AL651" i="2"/>
  <c r="AM651" i="2" s="1"/>
  <c r="AL650" i="2"/>
  <c r="AM650" i="2" s="1"/>
  <c r="AL620" i="2"/>
  <c r="AM620" i="2" s="1"/>
  <c r="AL604" i="2"/>
  <c r="AM604" i="2" s="1"/>
  <c r="AL593" i="2"/>
  <c r="AM593" i="2" s="1"/>
  <c r="AL586" i="2"/>
  <c r="AM586" i="2" s="1"/>
  <c r="AL580" i="2"/>
  <c r="AM580" i="2" s="1"/>
  <c r="AL577" i="2"/>
  <c r="AM577" i="2" s="1"/>
  <c r="AL568" i="2"/>
  <c r="AM568" i="2" s="1"/>
  <c r="AL566" i="2"/>
  <c r="AM566" i="2" s="1"/>
  <c r="AL545" i="2"/>
  <c r="AM545" i="2" s="1"/>
  <c r="AL543" i="2"/>
  <c r="AM543" i="2" s="1"/>
  <c r="AL541" i="2"/>
  <c r="AM541" i="2" s="1"/>
  <c r="AL539" i="2"/>
  <c r="AM539" i="2" s="1"/>
  <c r="AL537" i="2"/>
  <c r="AM537" i="2" s="1"/>
  <c r="AL535" i="2"/>
  <c r="AM535" i="2" s="1"/>
  <c r="AL533" i="2"/>
  <c r="AM533" i="2" s="1"/>
  <c r="AL510" i="2"/>
  <c r="AM510" i="2" s="1"/>
  <c r="AL508" i="2"/>
  <c r="AM508" i="2" s="1"/>
  <c r="AL506" i="2"/>
  <c r="AM506" i="2" s="1"/>
  <c r="AL504" i="2"/>
  <c r="AM504" i="2" s="1"/>
  <c r="AL471" i="2"/>
  <c r="AM471" i="2" s="1"/>
  <c r="AL469" i="2"/>
  <c r="AM469" i="2" s="1"/>
  <c r="AL467" i="2"/>
  <c r="AM467" i="2" s="1"/>
  <c r="AL465" i="2"/>
  <c r="AM465" i="2" s="1"/>
  <c r="AL463" i="2"/>
  <c r="AM463" i="2" s="1"/>
  <c r="AL461" i="2"/>
  <c r="AM461" i="2" s="1"/>
  <c r="AL459" i="2"/>
  <c r="AM459" i="2" s="1"/>
  <c r="AL457" i="2"/>
  <c r="AM457" i="2" s="1"/>
  <c r="AL455" i="2"/>
  <c r="AM455" i="2" s="1"/>
  <c r="AL453" i="2"/>
  <c r="AM453" i="2" s="1"/>
  <c r="AL764" i="2"/>
  <c r="AM764" i="2" s="1"/>
  <c r="AL665" i="2"/>
  <c r="AM665" i="2" s="1"/>
  <c r="AL656" i="2"/>
  <c r="AM656" i="2" s="1"/>
  <c r="AL606" i="2"/>
  <c r="AM606" i="2" s="1"/>
  <c r="AL595" i="2"/>
  <c r="AM595" i="2" s="1"/>
  <c r="AL574" i="2"/>
  <c r="AM574" i="2" s="1"/>
  <c r="AL571" i="2"/>
  <c r="AM571" i="2" s="1"/>
  <c r="AL683" i="2"/>
  <c r="AM683" i="2" s="1"/>
  <c r="AL658" i="2"/>
  <c r="AM658" i="2" s="1"/>
  <c r="AL657" i="2"/>
  <c r="AM657" i="2" s="1"/>
  <c r="AL647" i="2"/>
  <c r="AM647" i="2" s="1"/>
  <c r="AL636" i="2"/>
  <c r="AM636" i="2" s="1"/>
  <c r="AL628" i="2"/>
  <c r="AM628" i="2" s="1"/>
  <c r="AL627" i="2"/>
  <c r="AM627" i="2" s="1"/>
  <c r="AL608" i="2"/>
  <c r="AM608" i="2" s="1"/>
  <c r="AL597" i="2"/>
  <c r="AM597" i="2" s="1"/>
  <c r="AL581" i="2"/>
  <c r="AM581" i="2" s="1"/>
  <c r="AL562" i="2"/>
  <c r="AM562" i="2" s="1"/>
  <c r="AL560" i="2"/>
  <c r="AM560" i="2" s="1"/>
  <c r="AL558" i="2"/>
  <c r="AM558" i="2" s="1"/>
  <c r="AL556" i="2"/>
  <c r="AM556" i="2" s="1"/>
  <c r="AL554" i="2"/>
  <c r="AM554" i="2" s="1"/>
  <c r="AL552" i="2"/>
  <c r="AM552" i="2" s="1"/>
  <c r="AL550" i="2"/>
  <c r="AM550" i="2" s="1"/>
  <c r="AL527" i="2"/>
  <c r="AM527" i="2" s="1"/>
  <c r="AL525" i="2"/>
  <c r="AM525" i="2" s="1"/>
  <c r="AL523" i="2"/>
  <c r="AM523" i="2" s="1"/>
  <c r="AL521" i="2"/>
  <c r="AM521" i="2" s="1"/>
  <c r="AL519" i="2"/>
  <c r="AM519" i="2" s="1"/>
  <c r="AL517" i="2"/>
  <c r="AM517" i="2" s="1"/>
  <c r="AL515" i="2"/>
  <c r="AM515" i="2" s="1"/>
  <c r="AL500" i="2"/>
  <c r="AM500" i="2" s="1"/>
  <c r="AL498" i="2"/>
  <c r="AM498" i="2" s="1"/>
  <c r="AL496" i="2"/>
  <c r="AM496" i="2" s="1"/>
  <c r="AL494" i="2"/>
  <c r="AM494" i="2" s="1"/>
  <c r="AL492" i="2"/>
  <c r="AM492" i="2" s="1"/>
  <c r="AL490" i="2"/>
  <c r="AM490" i="2" s="1"/>
  <c r="AL488" i="2"/>
  <c r="AM488" i="2" s="1"/>
  <c r="AL486" i="2"/>
  <c r="AM486" i="2" s="1"/>
  <c r="AL484" i="2"/>
  <c r="AM484" i="2" s="1"/>
  <c r="AL482" i="2"/>
  <c r="AM482" i="2" s="1"/>
  <c r="AL480" i="2"/>
  <c r="AM480" i="2" s="1"/>
  <c r="AL478" i="2"/>
  <c r="AM478" i="2" s="1"/>
  <c r="AL476" i="2"/>
  <c r="AM476" i="2" s="1"/>
  <c r="AL624" i="2"/>
  <c r="AM624" i="2" s="1"/>
  <c r="AL612" i="2"/>
  <c r="AM612" i="2" s="1"/>
  <c r="AL587" i="2"/>
  <c r="AM587" i="2" s="1"/>
  <c r="AL542" i="2"/>
  <c r="AM542" i="2" s="1"/>
  <c r="AL468" i="2"/>
  <c r="AM468" i="2" s="1"/>
  <c r="AL454" i="2"/>
  <c r="AM454" i="2" s="1"/>
  <c r="AL648" i="2"/>
  <c r="AM648" i="2" s="1"/>
  <c r="AL583" i="2"/>
  <c r="AM583" i="2" s="1"/>
  <c r="AL569" i="2"/>
  <c r="AM569" i="2" s="1"/>
  <c r="AL540" i="2"/>
  <c r="AM540" i="2" s="1"/>
  <c r="AL466" i="2"/>
  <c r="AM466" i="2" s="1"/>
  <c r="AL446" i="2"/>
  <c r="AM446" i="2" s="1"/>
  <c r="AL444" i="2"/>
  <c r="AM444" i="2" s="1"/>
  <c r="AL442" i="2"/>
  <c r="AM442" i="2" s="1"/>
  <c r="AL419" i="2"/>
  <c r="AM419" i="2" s="1"/>
  <c r="AL417" i="2"/>
  <c r="AM417" i="2" s="1"/>
  <c r="AL415" i="2"/>
  <c r="AM415" i="2" s="1"/>
  <c r="AL413" i="2"/>
  <c r="AM413" i="2" s="1"/>
  <c r="AL411" i="2"/>
  <c r="AM411" i="2" s="1"/>
  <c r="AL409" i="2"/>
  <c r="AM409" i="2" s="1"/>
  <c r="AL407" i="2"/>
  <c r="AM407" i="2" s="1"/>
  <c r="AL405" i="2"/>
  <c r="AM405" i="2" s="1"/>
  <c r="AL403" i="2"/>
  <c r="AM403" i="2" s="1"/>
  <c r="AL401" i="2"/>
  <c r="AM401" i="2" s="1"/>
  <c r="AL399" i="2"/>
  <c r="AM399" i="2" s="1"/>
  <c r="AL374" i="2"/>
  <c r="AM374" i="2" s="1"/>
  <c r="AL372" i="2"/>
  <c r="AM372" i="2" s="1"/>
  <c r="AL370" i="2"/>
  <c r="AM370" i="2" s="1"/>
  <c r="AL368" i="2"/>
  <c r="AM368" i="2" s="1"/>
  <c r="AL366" i="2"/>
  <c r="AM366" i="2" s="1"/>
  <c r="AL364" i="2"/>
  <c r="AM364" i="2" s="1"/>
  <c r="AL362" i="2"/>
  <c r="AM362" i="2" s="1"/>
  <c r="AL360" i="2"/>
  <c r="AM360" i="2" s="1"/>
  <c r="AL659" i="2"/>
  <c r="AM659" i="2" s="1"/>
  <c r="AL614" i="2"/>
  <c r="AM614" i="2" s="1"/>
  <c r="AL578" i="2"/>
  <c r="AM578" i="2" s="1"/>
  <c r="AL538" i="2"/>
  <c r="AM538" i="2" s="1"/>
  <c r="AL511" i="2"/>
  <c r="AM511" i="2" s="1"/>
  <c r="AL464" i="2"/>
  <c r="AM464" i="2" s="1"/>
  <c r="AL689" i="2"/>
  <c r="AM689" i="2" s="1"/>
  <c r="AL607" i="2"/>
  <c r="AM607" i="2" s="1"/>
  <c r="AL579" i="2"/>
  <c r="AM579" i="2" s="1"/>
  <c r="AL536" i="2"/>
  <c r="AM536" i="2" s="1"/>
  <c r="AL660" i="2"/>
  <c r="AM660" i="2" s="1"/>
  <c r="AL625" i="2"/>
  <c r="AM625" i="2" s="1"/>
  <c r="AL534" i="2"/>
  <c r="AM534" i="2" s="1"/>
  <c r="AL507" i="2"/>
  <c r="AM507" i="2" s="1"/>
  <c r="AL460" i="2"/>
  <c r="AM460" i="2" s="1"/>
  <c r="AL711" i="2"/>
  <c r="AM711" i="2" s="1"/>
  <c r="AL445" i="2"/>
  <c r="AM445" i="2" s="1"/>
  <c r="AL437" i="2"/>
  <c r="AM437" i="2" s="1"/>
  <c r="AL433" i="2"/>
  <c r="AM433" i="2" s="1"/>
  <c r="AL429" i="2"/>
  <c r="AM429" i="2" s="1"/>
  <c r="AL425" i="2"/>
  <c r="AM425" i="2" s="1"/>
  <c r="AL693" i="2"/>
  <c r="AM693" i="2" s="1"/>
  <c r="AL572" i="2"/>
  <c r="AM572" i="2" s="1"/>
  <c r="AL509" i="2"/>
  <c r="AM509" i="2" s="1"/>
  <c r="AL505" i="2"/>
  <c r="AM505" i="2" s="1"/>
  <c r="AL462" i="2"/>
  <c r="AM462" i="2" s="1"/>
  <c r="AL458" i="2"/>
  <c r="AM458" i="2" s="1"/>
  <c r="AL448" i="2"/>
  <c r="AM448" i="2" s="1"/>
  <c r="AL438" i="2"/>
  <c r="AM438" i="2" s="1"/>
  <c r="AL434" i="2"/>
  <c r="AM434" i="2" s="1"/>
  <c r="AL430" i="2"/>
  <c r="AM430" i="2" s="1"/>
  <c r="AL426" i="2"/>
  <c r="AM426" i="2" s="1"/>
  <c r="AL414" i="2"/>
  <c r="AM414" i="2" s="1"/>
  <c r="AL406" i="2"/>
  <c r="AM406" i="2" s="1"/>
  <c r="AL383" i="2"/>
  <c r="AM383" i="2" s="1"/>
  <c r="AL382" i="2"/>
  <c r="AM382" i="2" s="1"/>
  <c r="AL567" i="2"/>
  <c r="AM567" i="2" s="1"/>
  <c r="AL546" i="2"/>
  <c r="AM546" i="2" s="1"/>
  <c r="AL532" i="2"/>
  <c r="AM532" i="2" s="1"/>
  <c r="AL412" i="2"/>
  <c r="AM412" i="2" s="1"/>
  <c r="AL404" i="2"/>
  <c r="AM404" i="2" s="1"/>
  <c r="AL389" i="2"/>
  <c r="AM389" i="2" s="1"/>
  <c r="AL379" i="2"/>
  <c r="AM379" i="2" s="1"/>
  <c r="AL378" i="2"/>
  <c r="AM378" i="2" s="1"/>
  <c r="AL687" i="2"/>
  <c r="AM687" i="2" s="1"/>
  <c r="AL575" i="2"/>
  <c r="AM575" i="2" s="1"/>
  <c r="AL456" i="2"/>
  <c r="AM456" i="2" s="1"/>
  <c r="AL435" i="2"/>
  <c r="AM435" i="2" s="1"/>
  <c r="AL431" i="2"/>
  <c r="AM431" i="2" s="1"/>
  <c r="AL427" i="2"/>
  <c r="AM427" i="2" s="1"/>
  <c r="AL423" i="2"/>
  <c r="AM423" i="2" s="1"/>
  <c r="AL385" i="2"/>
  <c r="AM385" i="2" s="1"/>
  <c r="AL384" i="2"/>
  <c r="AM384" i="2" s="1"/>
  <c r="AL640" i="2"/>
  <c r="AM640" i="2" s="1"/>
  <c r="AL452" i="2"/>
  <c r="AM452" i="2" s="1"/>
  <c r="AL443" i="2"/>
  <c r="AM443" i="2" s="1"/>
  <c r="AL428" i="2"/>
  <c r="AM428" i="2" s="1"/>
  <c r="AL418" i="2"/>
  <c r="AM418" i="2" s="1"/>
  <c r="AL416" i="2"/>
  <c r="AM416" i="2" s="1"/>
  <c r="AL369" i="2"/>
  <c r="AM369" i="2" s="1"/>
  <c r="AL365" i="2"/>
  <c r="AM365" i="2" s="1"/>
  <c r="AL470" i="2"/>
  <c r="AM470" i="2" s="1"/>
  <c r="AL447" i="2"/>
  <c r="AM447" i="2" s="1"/>
  <c r="AL424" i="2"/>
  <c r="AM424" i="2" s="1"/>
  <c r="AL392" i="2"/>
  <c r="AM392" i="2" s="1"/>
  <c r="AL358" i="2"/>
  <c r="AM358" i="2" s="1"/>
  <c r="AL356" i="2"/>
  <c r="AM356" i="2" s="1"/>
  <c r="AL339" i="2"/>
  <c r="AM339" i="2" s="1"/>
  <c r="AL337" i="2"/>
  <c r="AM337" i="2" s="1"/>
  <c r="AL335" i="2"/>
  <c r="AM335" i="2" s="1"/>
  <c r="AL333" i="2"/>
  <c r="AM333" i="2" s="1"/>
  <c r="AL331" i="2"/>
  <c r="AM331" i="2" s="1"/>
  <c r="AL314" i="2"/>
  <c r="AM314" i="2" s="1"/>
  <c r="AL312" i="2"/>
  <c r="AM312" i="2" s="1"/>
  <c r="AL310" i="2"/>
  <c r="AM310" i="2" s="1"/>
  <c r="AL308" i="2"/>
  <c r="AM308" i="2" s="1"/>
  <c r="AL306" i="2"/>
  <c r="AM306" i="2" s="1"/>
  <c r="AL285" i="2"/>
  <c r="AM285" i="2" s="1"/>
  <c r="AL283" i="2"/>
  <c r="AM283" i="2" s="1"/>
  <c r="AL281" i="2"/>
  <c r="AM281" i="2" s="1"/>
  <c r="AL279" i="2"/>
  <c r="AM279" i="2" s="1"/>
  <c r="AL277" i="2"/>
  <c r="AM277" i="2" s="1"/>
  <c r="AL275" i="2"/>
  <c r="AM275" i="2" s="1"/>
  <c r="AL273" i="2"/>
  <c r="AM273" i="2" s="1"/>
  <c r="AL271" i="2"/>
  <c r="AM271" i="2" s="1"/>
  <c r="AL269" i="2"/>
  <c r="AM269" i="2" s="1"/>
  <c r="AL252" i="2"/>
  <c r="AM252" i="2" s="1"/>
  <c r="AL250" i="2"/>
  <c r="AM250" i="2" s="1"/>
  <c r="AL248" i="2"/>
  <c r="AM248" i="2" s="1"/>
  <c r="AL246" i="2"/>
  <c r="AM246" i="2" s="1"/>
  <c r="AL244" i="2"/>
  <c r="AM244" i="2" s="1"/>
  <c r="AL242" i="2"/>
  <c r="AM242" i="2" s="1"/>
  <c r="AL240" i="2"/>
  <c r="AM240" i="2" s="1"/>
  <c r="AL238" i="2"/>
  <c r="AM238" i="2" s="1"/>
  <c r="AL236" i="2"/>
  <c r="AM236" i="2" s="1"/>
  <c r="AL544" i="2"/>
  <c r="AM544" i="2" s="1"/>
  <c r="AL410" i="2"/>
  <c r="AM410" i="2" s="1"/>
  <c r="AL408" i="2"/>
  <c r="AM408" i="2" s="1"/>
  <c r="AL391" i="2"/>
  <c r="AM391" i="2" s="1"/>
  <c r="AL363" i="2"/>
  <c r="AM363" i="2" s="1"/>
  <c r="AL678" i="2"/>
  <c r="AM678" i="2" s="1"/>
  <c r="AL599" i="2"/>
  <c r="AM599" i="2" s="1"/>
  <c r="AL381" i="2"/>
  <c r="AM381" i="2" s="1"/>
  <c r="AL352" i="2"/>
  <c r="AM352" i="2" s="1"/>
  <c r="AL350" i="2"/>
  <c r="AM350" i="2" s="1"/>
  <c r="AL348" i="2"/>
  <c r="AM348" i="2" s="1"/>
  <c r="AL346" i="2"/>
  <c r="AM346" i="2" s="1"/>
  <c r="AL344" i="2"/>
  <c r="AM344" i="2" s="1"/>
  <c r="AL327" i="2"/>
  <c r="AM327" i="2" s="1"/>
  <c r="AL325" i="2"/>
  <c r="AM325" i="2" s="1"/>
  <c r="AL323" i="2"/>
  <c r="AM323" i="2" s="1"/>
  <c r="AL321" i="2"/>
  <c r="AM321" i="2" s="1"/>
  <c r="AL319" i="2"/>
  <c r="AM319" i="2" s="1"/>
  <c r="AL302" i="2"/>
  <c r="AM302" i="2" s="1"/>
  <c r="AL300" i="2"/>
  <c r="AM300" i="2" s="1"/>
  <c r="AL298" i="2"/>
  <c r="AM298" i="2" s="1"/>
  <c r="AL296" i="2"/>
  <c r="AM296" i="2" s="1"/>
  <c r="AL294" i="2"/>
  <c r="AM294" i="2" s="1"/>
  <c r="AL292" i="2"/>
  <c r="AM292" i="2" s="1"/>
  <c r="AL290" i="2"/>
  <c r="AM290" i="2" s="1"/>
  <c r="AL265" i="2"/>
  <c r="AM265" i="2" s="1"/>
  <c r="AL263" i="2"/>
  <c r="AM263" i="2" s="1"/>
  <c r="AL261" i="2"/>
  <c r="AM261" i="2" s="1"/>
  <c r="AL259" i="2"/>
  <c r="AM259" i="2" s="1"/>
  <c r="AL257" i="2"/>
  <c r="AM257" i="2" s="1"/>
  <c r="AL632" i="2"/>
  <c r="AM632" i="2" s="1"/>
  <c r="AL402" i="2"/>
  <c r="AM402" i="2" s="1"/>
  <c r="AL400" i="2"/>
  <c r="AM400" i="2" s="1"/>
  <c r="AL395" i="2"/>
  <c r="AM395" i="2" s="1"/>
  <c r="AL390" i="2"/>
  <c r="AM390" i="2" s="1"/>
  <c r="AL388" i="2"/>
  <c r="AM388" i="2" s="1"/>
  <c r="AL361" i="2"/>
  <c r="AM361" i="2" s="1"/>
  <c r="AL393" i="2"/>
  <c r="AM393" i="2" s="1"/>
  <c r="AL351" i="2"/>
  <c r="AM351" i="2" s="1"/>
  <c r="AL343" i="2"/>
  <c r="AM343" i="2" s="1"/>
  <c r="AL320" i="2"/>
  <c r="AM320" i="2" s="1"/>
  <c r="AL264" i="2"/>
  <c r="AM264" i="2" s="1"/>
  <c r="AL234" i="2"/>
  <c r="AM234" i="2" s="1"/>
  <c r="AL232" i="2"/>
  <c r="AM232" i="2" s="1"/>
  <c r="AL230" i="2"/>
  <c r="AM230" i="2" s="1"/>
  <c r="AL228" i="2"/>
  <c r="AM228" i="2" s="1"/>
  <c r="AL226" i="2"/>
  <c r="AM226" i="2" s="1"/>
  <c r="AL224" i="2"/>
  <c r="AM224" i="2" s="1"/>
  <c r="AL205" i="2"/>
  <c r="AM205" i="2" s="1"/>
  <c r="AL203" i="2"/>
  <c r="AM203" i="2" s="1"/>
  <c r="AL201" i="2"/>
  <c r="AM201" i="2" s="1"/>
  <c r="AL199" i="2"/>
  <c r="AM199" i="2" s="1"/>
  <c r="AL605" i="2"/>
  <c r="AM605" i="2" s="1"/>
  <c r="AL301" i="2"/>
  <c r="AM301" i="2" s="1"/>
  <c r="AL293" i="2"/>
  <c r="AM293" i="2" s="1"/>
  <c r="AL286" i="2"/>
  <c r="AM286" i="2" s="1"/>
  <c r="AL284" i="2"/>
  <c r="AM284" i="2" s="1"/>
  <c r="AL282" i="2"/>
  <c r="AM282" i="2" s="1"/>
  <c r="AL280" i="2"/>
  <c r="AM280" i="2" s="1"/>
  <c r="AL278" i="2"/>
  <c r="AM278" i="2" s="1"/>
  <c r="AL276" i="2"/>
  <c r="AM276" i="2" s="1"/>
  <c r="AL274" i="2"/>
  <c r="AM274" i="2" s="1"/>
  <c r="AL272" i="2"/>
  <c r="AM272" i="2" s="1"/>
  <c r="AL270" i="2"/>
  <c r="AM270" i="2" s="1"/>
  <c r="AL357" i="2"/>
  <c r="AM357" i="2" s="1"/>
  <c r="AL349" i="2"/>
  <c r="AM349" i="2" s="1"/>
  <c r="AL322" i="2"/>
  <c r="AM322" i="2" s="1"/>
  <c r="AL315" i="2"/>
  <c r="AM315" i="2" s="1"/>
  <c r="AL313" i="2"/>
  <c r="AM313" i="2" s="1"/>
  <c r="AL311" i="2"/>
  <c r="AM311" i="2" s="1"/>
  <c r="AL309" i="2"/>
  <c r="AM309" i="2" s="1"/>
  <c r="AL307" i="2"/>
  <c r="AM307" i="2" s="1"/>
  <c r="AL258" i="2"/>
  <c r="AM258" i="2" s="1"/>
  <c r="AL220" i="2"/>
  <c r="AM220" i="2" s="1"/>
  <c r="AL218" i="2"/>
  <c r="AM218" i="2" s="1"/>
  <c r="AL216" i="2"/>
  <c r="AM216" i="2" s="1"/>
  <c r="AL214" i="2"/>
  <c r="AM214" i="2" s="1"/>
  <c r="AL212" i="2"/>
  <c r="AM212" i="2" s="1"/>
  <c r="AL210" i="2"/>
  <c r="AM210" i="2" s="1"/>
  <c r="AL585" i="2"/>
  <c r="AM585" i="2" s="1"/>
  <c r="AL394" i="2"/>
  <c r="AM394" i="2" s="1"/>
  <c r="AL386" i="2"/>
  <c r="AM386" i="2" s="1"/>
  <c r="AL380" i="2"/>
  <c r="AM380" i="2" s="1"/>
  <c r="AL371" i="2"/>
  <c r="AM371" i="2" s="1"/>
  <c r="AL295" i="2"/>
  <c r="AM295" i="2" s="1"/>
  <c r="AL436" i="2"/>
  <c r="AM436" i="2" s="1"/>
  <c r="AL373" i="2"/>
  <c r="AM373" i="2" s="1"/>
  <c r="AL297" i="2"/>
  <c r="AM297" i="2" s="1"/>
  <c r="AL432" i="2"/>
  <c r="AM432" i="2" s="1"/>
  <c r="AL338" i="2"/>
  <c r="AM338" i="2" s="1"/>
  <c r="AL334" i="2"/>
  <c r="AM334" i="2" s="1"/>
  <c r="AL324" i="2"/>
  <c r="AM324" i="2" s="1"/>
  <c r="AL241" i="2"/>
  <c r="AM241" i="2" s="1"/>
  <c r="AL231" i="2"/>
  <c r="AM231" i="2" s="1"/>
  <c r="AL209" i="2"/>
  <c r="AM209" i="2" s="1"/>
  <c r="AL200" i="2"/>
  <c r="AM200" i="2" s="1"/>
  <c r="AL247" i="2"/>
  <c r="AM247" i="2" s="1"/>
  <c r="AL235" i="2"/>
  <c r="AM235" i="2" s="1"/>
  <c r="AL211" i="2"/>
  <c r="AM211" i="2" s="1"/>
  <c r="AL202" i="2"/>
  <c r="AM202" i="2" s="1"/>
  <c r="AL187" i="2"/>
  <c r="AM187" i="2" s="1"/>
  <c r="AL185" i="2"/>
  <c r="AM185" i="2" s="1"/>
  <c r="AL183" i="2"/>
  <c r="AM183" i="2" s="1"/>
  <c r="AL181" i="2"/>
  <c r="AM181" i="2" s="1"/>
  <c r="AL179" i="2"/>
  <c r="AM179" i="2" s="1"/>
  <c r="AL177" i="2"/>
  <c r="AM177" i="2" s="1"/>
  <c r="AL175" i="2"/>
  <c r="AM175" i="2" s="1"/>
  <c r="AL173" i="2"/>
  <c r="AM173" i="2" s="1"/>
  <c r="AL171" i="2"/>
  <c r="AM171" i="2" s="1"/>
  <c r="AL169" i="2"/>
  <c r="AM169" i="2" s="1"/>
  <c r="AL167" i="2"/>
  <c r="AM167" i="2" s="1"/>
  <c r="AL148" i="2"/>
  <c r="AM148" i="2" s="1"/>
  <c r="AL146" i="2"/>
  <c r="AM146" i="2" s="1"/>
  <c r="AL144" i="2"/>
  <c r="AM144" i="2" s="1"/>
  <c r="AL142" i="2"/>
  <c r="AM142" i="2" s="1"/>
  <c r="AL140" i="2"/>
  <c r="AM140" i="2" s="1"/>
  <c r="AL138" i="2"/>
  <c r="AM138" i="2" s="1"/>
  <c r="AL136" i="2"/>
  <c r="AM136" i="2" s="1"/>
  <c r="AL134" i="2"/>
  <c r="AM134" i="2" s="1"/>
  <c r="AL132" i="2"/>
  <c r="AM132" i="2" s="1"/>
  <c r="AL130" i="2"/>
  <c r="AM130" i="2" s="1"/>
  <c r="AL128" i="2"/>
  <c r="AM128" i="2" s="1"/>
  <c r="AL126" i="2"/>
  <c r="AM126" i="2" s="1"/>
  <c r="AL124" i="2"/>
  <c r="AM124" i="2" s="1"/>
  <c r="AL122" i="2"/>
  <c r="AM122" i="2" s="1"/>
  <c r="AL120" i="2"/>
  <c r="AM120" i="2" s="1"/>
  <c r="AL118" i="2"/>
  <c r="AM118" i="2" s="1"/>
  <c r="AL87" i="2"/>
  <c r="AM87" i="2" s="1"/>
  <c r="AL85" i="2"/>
  <c r="AM85" i="2" s="1"/>
  <c r="AL83" i="2"/>
  <c r="AM83" i="2" s="1"/>
  <c r="AL81" i="2"/>
  <c r="AM81" i="2" s="1"/>
  <c r="AL79" i="2"/>
  <c r="AM79" i="2" s="1"/>
  <c r="AL77" i="2"/>
  <c r="AM77" i="2" s="1"/>
  <c r="AL262" i="2"/>
  <c r="AM262" i="2" s="1"/>
  <c r="AL253" i="2"/>
  <c r="AM253" i="2" s="1"/>
  <c r="AL237" i="2"/>
  <c r="AM237" i="2" s="1"/>
  <c r="AL213" i="2"/>
  <c r="AM213" i="2" s="1"/>
  <c r="AL204" i="2"/>
  <c r="AM204" i="2" s="1"/>
  <c r="AL387" i="2"/>
  <c r="AM387" i="2" s="1"/>
  <c r="AL243" i="2"/>
  <c r="AM243" i="2" s="1"/>
  <c r="AL215" i="2"/>
  <c r="AM215" i="2" s="1"/>
  <c r="AL198" i="2"/>
  <c r="AM198" i="2" s="1"/>
  <c r="AL196" i="2"/>
  <c r="AM196" i="2" s="1"/>
  <c r="AL194" i="2"/>
  <c r="AM194" i="2" s="1"/>
  <c r="AL192" i="2"/>
  <c r="AM192" i="2" s="1"/>
  <c r="AL161" i="2"/>
  <c r="AM161" i="2" s="1"/>
  <c r="AL159" i="2"/>
  <c r="AM159" i="2" s="1"/>
  <c r="AL157" i="2"/>
  <c r="AM157" i="2" s="1"/>
  <c r="AL155" i="2"/>
  <c r="AM155" i="2" s="1"/>
  <c r="AL153" i="2"/>
  <c r="AM153" i="2" s="1"/>
  <c r="AL112" i="2"/>
  <c r="AM112" i="2" s="1"/>
  <c r="AL110" i="2"/>
  <c r="AM110" i="2" s="1"/>
  <c r="AL108" i="2"/>
  <c r="AM108" i="2" s="1"/>
  <c r="AL106" i="2"/>
  <c r="AM106" i="2" s="1"/>
  <c r="AL104" i="2"/>
  <c r="AM104" i="2" s="1"/>
  <c r="AL102" i="2"/>
  <c r="AM102" i="2" s="1"/>
  <c r="AL100" i="2"/>
  <c r="AM100" i="2" s="1"/>
  <c r="AL98" i="2"/>
  <c r="AM98" i="2" s="1"/>
  <c r="AL96" i="2"/>
  <c r="AM96" i="2" s="1"/>
  <c r="AL94" i="2"/>
  <c r="AM94" i="2" s="1"/>
  <c r="AL92" i="2"/>
  <c r="AM92" i="2" s="1"/>
  <c r="AL367" i="2"/>
  <c r="AM367" i="2" s="1"/>
  <c r="AL347" i="2"/>
  <c r="AM347" i="2" s="1"/>
  <c r="AL336" i="2"/>
  <c r="AM336" i="2" s="1"/>
  <c r="AL332" i="2"/>
  <c r="AM332" i="2" s="1"/>
  <c r="AL326" i="2"/>
  <c r="AM326" i="2" s="1"/>
  <c r="AL249" i="2"/>
  <c r="AM249" i="2" s="1"/>
  <c r="AL233" i="2"/>
  <c r="AM233" i="2" s="1"/>
  <c r="AL217" i="2"/>
  <c r="AM217" i="2" s="1"/>
  <c r="AL359" i="2"/>
  <c r="AM359" i="2" s="1"/>
  <c r="AL239" i="2"/>
  <c r="AM239" i="2" s="1"/>
  <c r="AL219" i="2"/>
  <c r="AM219" i="2" s="1"/>
  <c r="AL188" i="2"/>
  <c r="AM188" i="2" s="1"/>
  <c r="AL186" i="2"/>
  <c r="AM186" i="2" s="1"/>
  <c r="AL184" i="2"/>
  <c r="AM184" i="2" s="1"/>
  <c r="AL182" i="2"/>
  <c r="AM182" i="2" s="1"/>
  <c r="AL180" i="2"/>
  <c r="AM180" i="2" s="1"/>
  <c r="AL178" i="2"/>
  <c r="AM178" i="2" s="1"/>
  <c r="AL176" i="2"/>
  <c r="AM176" i="2" s="1"/>
  <c r="AL174" i="2"/>
  <c r="AM174" i="2" s="1"/>
  <c r="AL172" i="2"/>
  <c r="AM172" i="2" s="1"/>
  <c r="AL170" i="2"/>
  <c r="AM170" i="2" s="1"/>
  <c r="AL168" i="2"/>
  <c r="AM168" i="2" s="1"/>
  <c r="AL166" i="2"/>
  <c r="AM166" i="2" s="1"/>
  <c r="AL149" i="2"/>
  <c r="AM149" i="2" s="1"/>
  <c r="AL147" i="2"/>
  <c r="AM147" i="2" s="1"/>
  <c r="AL145" i="2"/>
  <c r="AM145" i="2" s="1"/>
  <c r="AL143" i="2"/>
  <c r="AM143" i="2" s="1"/>
  <c r="AL141" i="2"/>
  <c r="AM141" i="2" s="1"/>
  <c r="AL139" i="2"/>
  <c r="AM139" i="2" s="1"/>
  <c r="AL137" i="2"/>
  <c r="AM137" i="2" s="1"/>
  <c r="AL135" i="2"/>
  <c r="AM135" i="2" s="1"/>
  <c r="AL133" i="2"/>
  <c r="AM133" i="2" s="1"/>
  <c r="AL131" i="2"/>
  <c r="AM131" i="2" s="1"/>
  <c r="AL129" i="2"/>
  <c r="AM129" i="2" s="1"/>
  <c r="AL127" i="2"/>
  <c r="AM127" i="2" s="1"/>
  <c r="AL125" i="2"/>
  <c r="AM125" i="2" s="1"/>
  <c r="AL123" i="2"/>
  <c r="AM123" i="2" s="1"/>
  <c r="AL121" i="2"/>
  <c r="AM121" i="2" s="1"/>
  <c r="AL119" i="2"/>
  <c r="AM119" i="2" s="1"/>
  <c r="AL117" i="2"/>
  <c r="AM117" i="2" s="1"/>
  <c r="AL88" i="2"/>
  <c r="AM88" i="2" s="1"/>
  <c r="AL86" i="2"/>
  <c r="AM86" i="2" s="1"/>
  <c r="AL84" i="2"/>
  <c r="AM84" i="2" s="1"/>
  <c r="AL82" i="2"/>
  <c r="AM82" i="2" s="1"/>
  <c r="AL80" i="2"/>
  <c r="AM80" i="2" s="1"/>
  <c r="AL78" i="2"/>
  <c r="AM78" i="2" s="1"/>
  <c r="AL76" i="2"/>
  <c r="AM76" i="2" s="1"/>
  <c r="AL113" i="2"/>
  <c r="AM113" i="2" s="1"/>
  <c r="AL109" i="2"/>
  <c r="AM109" i="2" s="1"/>
  <c r="AL105" i="2"/>
  <c r="AM105" i="2" s="1"/>
  <c r="AL101" i="2"/>
  <c r="AM101" i="2" s="1"/>
  <c r="AL97" i="2"/>
  <c r="AM97" i="2" s="1"/>
  <c r="AL93" i="2"/>
  <c r="AM93" i="2" s="1"/>
  <c r="AL69" i="2"/>
  <c r="AM69" i="2" s="1"/>
  <c r="AL67" i="2"/>
  <c r="AM67" i="2" s="1"/>
  <c r="AL65" i="2"/>
  <c r="AM65" i="2" s="1"/>
  <c r="AL40" i="2"/>
  <c r="AM40" i="2" s="1"/>
  <c r="AL38" i="2"/>
  <c r="AM38" i="2" s="1"/>
  <c r="AL36" i="2"/>
  <c r="AM36" i="2" s="1"/>
  <c r="AL34" i="2"/>
  <c r="AM34" i="2" s="1"/>
  <c r="AL32" i="2"/>
  <c r="AM32" i="2" s="1"/>
  <c r="AL251" i="2"/>
  <c r="AM251" i="2" s="1"/>
  <c r="AL229" i="2"/>
  <c r="AM229" i="2" s="1"/>
  <c r="AL154" i="2"/>
  <c r="AM154" i="2" s="1"/>
  <c r="AL74" i="2"/>
  <c r="AM74" i="2" s="1"/>
  <c r="AL61" i="2"/>
  <c r="AM61" i="2" s="1"/>
  <c r="AL59" i="2"/>
  <c r="AM59" i="2" s="1"/>
  <c r="AL57" i="2"/>
  <c r="AM57" i="2" s="1"/>
  <c r="AL55" i="2"/>
  <c r="AM55" i="2" s="1"/>
  <c r="AL53" i="2"/>
  <c r="AM53" i="2" s="1"/>
  <c r="AL51" i="2"/>
  <c r="AM51" i="2" s="1"/>
  <c r="AL49" i="2"/>
  <c r="AM49" i="2" s="1"/>
  <c r="AL47" i="2"/>
  <c r="AM47" i="2" s="1"/>
  <c r="AL45" i="2"/>
  <c r="AM45" i="2" s="1"/>
  <c r="AL197" i="2"/>
  <c r="AM197" i="2" s="1"/>
  <c r="AL195" i="2"/>
  <c r="AM195" i="2" s="1"/>
  <c r="AL193" i="2"/>
  <c r="AM193" i="2" s="1"/>
  <c r="AL156" i="2"/>
  <c r="AM156" i="2" s="1"/>
  <c r="AL245" i="2"/>
  <c r="AM245" i="2" s="1"/>
  <c r="AL160" i="2"/>
  <c r="AM160" i="2" s="1"/>
  <c r="AL345" i="2"/>
  <c r="AM345" i="2" s="1"/>
  <c r="AL299" i="2"/>
  <c r="AM299" i="2" s="1"/>
  <c r="AL162" i="2"/>
  <c r="AM162" i="2" s="1"/>
  <c r="AL75" i="2"/>
  <c r="AM75" i="2" s="1"/>
  <c r="AL60" i="2"/>
  <c r="AM60" i="2" s="1"/>
  <c r="AL58" i="2"/>
  <c r="AM58" i="2" s="1"/>
  <c r="AL56" i="2"/>
  <c r="AM56" i="2" s="1"/>
  <c r="AL54" i="2"/>
  <c r="AM54" i="2" s="1"/>
  <c r="AL52" i="2"/>
  <c r="AM52" i="2" s="1"/>
  <c r="AL50" i="2"/>
  <c r="AM50" i="2" s="1"/>
  <c r="AL48" i="2"/>
  <c r="AM48" i="2" s="1"/>
  <c r="AL46" i="2"/>
  <c r="AM46" i="2" s="1"/>
  <c r="AL70" i="2"/>
  <c r="AM70" i="2" s="1"/>
  <c r="AL39" i="2"/>
  <c r="AM39" i="2" s="1"/>
  <c r="AL37" i="2"/>
  <c r="AM37" i="2" s="1"/>
  <c r="AL41" i="2"/>
  <c r="AM41" i="2" s="1"/>
  <c r="AL28" i="2"/>
  <c r="AM28" i="2" s="1"/>
  <c r="AL22" i="2"/>
  <c r="AM22" i="2" s="1"/>
  <c r="AL20" i="2"/>
  <c r="AM20" i="2" s="1"/>
  <c r="AL18" i="2"/>
  <c r="AM18" i="2" s="1"/>
  <c r="AL260" i="2"/>
  <c r="AM260" i="2" s="1"/>
  <c r="AL95" i="2"/>
  <c r="AM95" i="2" s="1"/>
  <c r="AL29" i="2"/>
  <c r="AM29" i="2" s="1"/>
  <c r="AL68" i="2"/>
  <c r="AM68" i="2" s="1"/>
  <c r="AL227" i="2"/>
  <c r="AM227" i="2" s="1"/>
  <c r="AL99" i="2"/>
  <c r="AM99" i="2" s="1"/>
  <c r="AL30" i="2"/>
  <c r="AM30" i="2" s="1"/>
  <c r="AL27" i="2"/>
  <c r="AM27" i="2" s="1"/>
  <c r="AL225" i="2"/>
  <c r="AM225" i="2" s="1"/>
  <c r="AL103" i="2"/>
  <c r="AM103" i="2" s="1"/>
  <c r="AL107" i="2"/>
  <c r="AM107" i="2" s="1"/>
  <c r="AL35" i="2"/>
  <c r="AM35" i="2" s="1"/>
  <c r="AL33" i="2"/>
  <c r="AM33" i="2" s="1"/>
  <c r="AL21" i="2"/>
  <c r="AM21" i="2" s="1"/>
  <c r="AL19" i="2"/>
  <c r="AM19" i="2" s="1"/>
  <c r="AL17" i="2"/>
  <c r="I41" i="1"/>
  <c r="AL291" i="2"/>
  <c r="AM291" i="2" s="1"/>
  <c r="AL158" i="2"/>
  <c r="AM158" i="2" s="1"/>
  <c r="AL111" i="2"/>
  <c r="AM111" i="2" s="1"/>
  <c r="AL66" i="2"/>
  <c r="AM66" i="2" s="1"/>
  <c r="AL31" i="2"/>
  <c r="AM31" i="2" s="1"/>
  <c r="AL26" i="2"/>
  <c r="AM26" i="2" s="1"/>
  <c r="AX554" i="2"/>
  <c r="AX459" i="2"/>
  <c r="AX506" i="2"/>
  <c r="AX543" i="2"/>
  <c r="AX674" i="2"/>
  <c r="AX685" i="2"/>
  <c r="AX481" i="2"/>
  <c r="AX497" i="2"/>
  <c r="AX528" i="2"/>
  <c r="AX599" i="2"/>
  <c r="AX627" i="2"/>
  <c r="AX460" i="2"/>
  <c r="AX509" i="2"/>
  <c r="AX544" i="2"/>
  <c r="AX623" i="2"/>
  <c r="AX569" i="2"/>
  <c r="AX585" i="2"/>
  <c r="AX648" i="2"/>
  <c r="AX689" i="2"/>
  <c r="AX624" i="2"/>
  <c r="AX665" i="2"/>
  <c r="AX659" i="2"/>
  <c r="AX721" i="2"/>
  <c r="AX753" i="2"/>
  <c r="AX711" i="2"/>
  <c r="AX751" i="2"/>
  <c r="AX767" i="2"/>
  <c r="AX726" i="2"/>
  <c r="AX742" i="2"/>
  <c r="AX758" i="2"/>
  <c r="BA356" i="2"/>
  <c r="AZ354" i="2"/>
  <c r="BA452" i="2"/>
  <c r="AZ450" i="2"/>
  <c r="AX27" i="2"/>
  <c r="AX80" i="2"/>
  <c r="AX166" i="2"/>
  <c r="AX33" i="2"/>
  <c r="AX39" i="2"/>
  <c r="AX147" i="2"/>
  <c r="AX131" i="2"/>
  <c r="AX65" i="2"/>
  <c r="AX88" i="2"/>
  <c r="AX48" i="2"/>
  <c r="AX127" i="2"/>
  <c r="AX98" i="2"/>
  <c r="AX153" i="2"/>
  <c r="AX198" i="2"/>
  <c r="AX327" i="2"/>
  <c r="AX85" i="2"/>
  <c r="AX130" i="2"/>
  <c r="AX146" i="2"/>
  <c r="AX179" i="2"/>
  <c r="AX319" i="2"/>
  <c r="AX93" i="2"/>
  <c r="AX109" i="2"/>
  <c r="AX193" i="2"/>
  <c r="AX357" i="2"/>
  <c r="AX280" i="2"/>
  <c r="AX259" i="2"/>
  <c r="AX374" i="2"/>
  <c r="AX228" i="2"/>
  <c r="AX257" i="2"/>
  <c r="AX217" i="2"/>
  <c r="AX249" i="2"/>
  <c r="AX365" i="2"/>
  <c r="AX238" i="2"/>
  <c r="AX269" i="2"/>
  <c r="AX285" i="2"/>
  <c r="AX335" i="2"/>
  <c r="AX430" i="2"/>
  <c r="AX260" i="2"/>
  <c r="AX301" i="2"/>
  <c r="AX349" i="2"/>
  <c r="AX613" i="2"/>
  <c r="AX492" i="2"/>
  <c r="AX403" i="2"/>
  <c r="AX410" i="2"/>
  <c r="AX385" i="2"/>
  <c r="AX558" i="2"/>
  <c r="AX517" i="2"/>
  <c r="AX382" i="2"/>
  <c r="AX425" i="2"/>
  <c r="AX480" i="2"/>
  <c r="AX562" i="2"/>
  <c r="AX461" i="2"/>
  <c r="AX508" i="2"/>
  <c r="AX545" i="2"/>
  <c r="AX699" i="2"/>
  <c r="AX686" i="2"/>
  <c r="AX483" i="2"/>
  <c r="AX499" i="2"/>
  <c r="AX551" i="2"/>
  <c r="AX605" i="2"/>
  <c r="AX635" i="2"/>
  <c r="AX462" i="2"/>
  <c r="AX511" i="2"/>
  <c r="AX546" i="2"/>
  <c r="AX634" i="2"/>
  <c r="AX571" i="2"/>
  <c r="AX587" i="2"/>
  <c r="AX678" i="2"/>
  <c r="AX698" i="2"/>
  <c r="AX626" i="2"/>
  <c r="AX673" i="2"/>
  <c r="AX660" i="2"/>
  <c r="AX725" i="2"/>
  <c r="AX757" i="2"/>
  <c r="AX723" i="2"/>
  <c r="AX755" i="2"/>
  <c r="AX769" i="2"/>
  <c r="AX728" i="2"/>
  <c r="J103" i="2" l="1"/>
  <c r="H103" i="2" s="1"/>
  <c r="G103" i="3" s="1"/>
  <c r="K103" i="3" s="1"/>
  <c r="J68" i="2"/>
  <c r="H68" i="2" s="1"/>
  <c r="G68" i="3" s="1"/>
  <c r="K68" i="3" s="1"/>
  <c r="J92" i="2"/>
  <c r="J697" i="2"/>
  <c r="H697" i="2" s="1"/>
  <c r="G697" i="3" s="1"/>
  <c r="K697" i="3" s="1"/>
  <c r="J331" i="2"/>
  <c r="H331" i="2" s="1"/>
  <c r="V690" i="2"/>
  <c r="V294" i="2"/>
  <c r="J475" i="2"/>
  <c r="J743" i="2"/>
  <c r="H743" i="2" s="1"/>
  <c r="G743" i="3" s="1"/>
  <c r="K743" i="3" s="1"/>
  <c r="J159" i="2"/>
  <c r="H159" i="2" s="1"/>
  <c r="G159" i="3" s="1"/>
  <c r="K159" i="3" s="1"/>
  <c r="J169" i="2"/>
  <c r="H169" i="2" s="1"/>
  <c r="G169" i="3" s="1"/>
  <c r="K169" i="3" s="1"/>
  <c r="V335" i="2"/>
  <c r="J193" i="2"/>
  <c r="H193" i="2" s="1"/>
  <c r="G193" i="3" s="1"/>
  <c r="K193" i="3" s="1"/>
  <c r="V77" i="2"/>
  <c r="V607" i="2"/>
  <c r="V678" i="2"/>
  <c r="V56" i="2"/>
  <c r="J618" i="2"/>
  <c r="H618" i="2" s="1"/>
  <c r="G618" i="3" s="1"/>
  <c r="K618" i="3" s="1"/>
  <c r="V468" i="2"/>
  <c r="J185" i="2"/>
  <c r="H185" i="2" s="1"/>
  <c r="G185" i="3" s="1"/>
  <c r="K185" i="3" s="1"/>
  <c r="J657" i="2"/>
  <c r="H657" i="2" s="1"/>
  <c r="G657" i="3" s="1"/>
  <c r="K657" i="3" s="1"/>
  <c r="J730" i="2"/>
  <c r="H730" i="2" s="1"/>
  <c r="G730" i="3" s="1"/>
  <c r="K730" i="3" s="1"/>
  <c r="J727" i="2"/>
  <c r="H727" i="2" s="1"/>
  <c r="G727" i="3" s="1"/>
  <c r="K727" i="3" s="1"/>
  <c r="J204" i="2"/>
  <c r="H204" i="2" s="1"/>
  <c r="G204" i="3" s="1"/>
  <c r="K204" i="3" s="1"/>
  <c r="J632" i="2"/>
  <c r="H632" i="2" s="1"/>
  <c r="V235" i="2"/>
  <c r="J155" i="2"/>
  <c r="H155" i="2" s="1"/>
  <c r="G155" i="3" s="1"/>
  <c r="K155" i="3" s="1"/>
  <c r="V291" i="2"/>
  <c r="J226" i="2"/>
  <c r="H226" i="2" s="1"/>
  <c r="G226" i="3" s="1"/>
  <c r="K226" i="3" s="1"/>
  <c r="J669" i="2"/>
  <c r="H669" i="2" s="1"/>
  <c r="G669" i="3" s="1"/>
  <c r="K669" i="3" s="1"/>
  <c r="V265" i="2"/>
  <c r="V600" i="2"/>
  <c r="J536" i="2"/>
  <c r="H536" i="2" s="1"/>
  <c r="G536" i="3" s="1"/>
  <c r="K536" i="3" s="1"/>
  <c r="V201" i="2"/>
  <c r="V307" i="2"/>
  <c r="V246" i="2"/>
  <c r="V336" i="2"/>
  <c r="V772" i="2"/>
  <c r="J676" i="2"/>
  <c r="H676" i="2" s="1"/>
  <c r="G676" i="3" s="1"/>
  <c r="K676" i="3" s="1"/>
  <c r="J129" i="2"/>
  <c r="H129" i="2" s="1"/>
  <c r="G129" i="3" s="1"/>
  <c r="K129" i="3" s="1"/>
  <c r="J34" i="2"/>
  <c r="H34" i="2" s="1"/>
  <c r="G34" i="3" s="1"/>
  <c r="K34" i="3" s="1"/>
  <c r="V238" i="2"/>
  <c r="V168" i="2"/>
  <c r="V594" i="2"/>
  <c r="V53" i="2"/>
  <c r="J405" i="2"/>
  <c r="H405" i="2" s="1"/>
  <c r="G405" i="3" s="1"/>
  <c r="K405" i="3" s="1"/>
  <c r="V406" i="2"/>
  <c r="J427" i="2"/>
  <c r="H427" i="2" s="1"/>
  <c r="G427" i="3" s="1"/>
  <c r="K427" i="3" s="1"/>
  <c r="V711" i="2"/>
  <c r="J260" i="2"/>
  <c r="H260" i="2" s="1"/>
  <c r="G260" i="3" s="1"/>
  <c r="K260" i="3" s="1"/>
  <c r="J109" i="2"/>
  <c r="H109" i="2" s="1"/>
  <c r="G109" i="3" s="1"/>
  <c r="K109" i="3" s="1"/>
  <c r="V725" i="2"/>
  <c r="J283" i="2"/>
  <c r="H283" i="2" s="1"/>
  <c r="G283" i="3" s="1"/>
  <c r="K283" i="3" s="1"/>
  <c r="J710" i="2"/>
  <c r="H710" i="2" s="1"/>
  <c r="G710" i="3" s="1"/>
  <c r="K710" i="3" s="1"/>
  <c r="J639" i="2"/>
  <c r="H639" i="2" s="1"/>
  <c r="G639" i="3" s="1"/>
  <c r="K639" i="3" s="1"/>
  <c r="V723" i="2"/>
  <c r="J459" i="2"/>
  <c r="H459" i="2" s="1"/>
  <c r="G459" i="3" s="1"/>
  <c r="K459" i="3" s="1"/>
  <c r="J684" i="2"/>
  <c r="H684" i="2" s="1"/>
  <c r="G684" i="3" s="1"/>
  <c r="K684" i="3" s="1"/>
  <c r="J461" i="2"/>
  <c r="H461" i="2" s="1"/>
  <c r="G461" i="3" s="1"/>
  <c r="K461" i="3" s="1"/>
  <c r="V568" i="2"/>
  <c r="J537" i="2"/>
  <c r="H537" i="2" s="1"/>
  <c r="G537" i="3" s="1"/>
  <c r="K537" i="3" s="1"/>
  <c r="V39" i="2"/>
  <c r="V68" i="2"/>
  <c r="J497" i="2"/>
  <c r="H497" i="2" s="1"/>
  <c r="G497" i="3" s="1"/>
  <c r="K497" i="3" s="1"/>
  <c r="V322" i="2"/>
  <c r="J83" i="2"/>
  <c r="H83" i="2" s="1"/>
  <c r="G83" i="3" s="1"/>
  <c r="K83" i="3" s="1"/>
  <c r="J80" i="2"/>
  <c r="H80" i="2" s="1"/>
  <c r="G80" i="3" s="1"/>
  <c r="K80" i="3" s="1"/>
  <c r="J269" i="2"/>
  <c r="H269" i="2" s="1"/>
  <c r="J696" i="2"/>
  <c r="H696" i="2" s="1"/>
  <c r="G696" i="3" s="1"/>
  <c r="K696" i="3" s="1"/>
  <c r="J166" i="2"/>
  <c r="T602" i="2"/>
  <c r="V386" i="2"/>
  <c r="J28" i="2"/>
  <c r="H28" i="2" s="1"/>
  <c r="G28" i="3" s="1"/>
  <c r="K28" i="3" s="1"/>
  <c r="J454" i="2"/>
  <c r="H454" i="2" s="1"/>
  <c r="G454" i="3" s="1"/>
  <c r="K454" i="3" s="1"/>
  <c r="V604" i="2"/>
  <c r="J393" i="2"/>
  <c r="H393" i="2" s="1"/>
  <c r="G393" i="3" s="1"/>
  <c r="K393" i="3" s="1"/>
  <c r="V578" i="2"/>
  <c r="V369" i="2"/>
  <c r="J41" i="2"/>
  <c r="H41" i="2" s="1"/>
  <c r="G41" i="3" s="1"/>
  <c r="K41" i="3" s="1"/>
  <c r="V119" i="2"/>
  <c r="J215" i="2"/>
  <c r="H215" i="2" s="1"/>
  <c r="G215" i="3" s="1"/>
  <c r="K215" i="3" s="1"/>
  <c r="J487" i="2"/>
  <c r="H487" i="2" s="1"/>
  <c r="G487" i="3" s="1"/>
  <c r="K487" i="3" s="1"/>
  <c r="J281" i="2"/>
  <c r="H281" i="2" s="1"/>
  <c r="G281" i="3" s="1"/>
  <c r="K281" i="3" s="1"/>
  <c r="J123" i="2"/>
  <c r="H123" i="2" s="1"/>
  <c r="G123" i="3" s="1"/>
  <c r="K123" i="3" s="1"/>
  <c r="V605" i="2"/>
  <c r="V66" i="2"/>
  <c r="V751" i="2"/>
  <c r="V562" i="2"/>
  <c r="V31" i="2"/>
  <c r="J233" i="2"/>
  <c r="H233" i="2" s="1"/>
  <c r="G233" i="3" s="1"/>
  <c r="K233" i="3" s="1"/>
  <c r="J145" i="2"/>
  <c r="H145" i="2" s="1"/>
  <c r="G145" i="3" s="1"/>
  <c r="K145" i="3" s="1"/>
  <c r="V19" i="2"/>
  <c r="J107" i="2"/>
  <c r="H107" i="2" s="1"/>
  <c r="G107" i="3" s="1"/>
  <c r="K107" i="3" s="1"/>
  <c r="J381" i="2"/>
  <c r="H381" i="2" s="1"/>
  <c r="G381" i="3" s="1"/>
  <c r="K381" i="3" s="1"/>
  <c r="V633" i="2"/>
  <c r="J764" i="2"/>
  <c r="H764" i="2" s="1"/>
  <c r="G764" i="3" s="1"/>
  <c r="K764" i="3" s="1"/>
  <c r="V579" i="2"/>
  <c r="J394" i="2"/>
  <c r="H394" i="2" s="1"/>
  <c r="G394" i="3" s="1"/>
  <c r="K394" i="3" s="1"/>
  <c r="J146" i="2"/>
  <c r="H146" i="2" s="1"/>
  <c r="G146" i="3" s="1"/>
  <c r="K146" i="3" s="1"/>
  <c r="J476" i="2"/>
  <c r="H476" i="2" s="1"/>
  <c r="G476" i="3" s="1"/>
  <c r="K476" i="3" s="1"/>
  <c r="J584" i="2"/>
  <c r="H584" i="2" s="1"/>
  <c r="G584" i="3" s="1"/>
  <c r="K584" i="3" s="1"/>
  <c r="V408" i="2"/>
  <c r="V135" i="2"/>
  <c r="J715" i="2"/>
  <c r="H715" i="2" s="1"/>
  <c r="G715" i="3" s="1"/>
  <c r="K715" i="3" s="1"/>
  <c r="J76" i="2"/>
  <c r="H76" i="2" s="1"/>
  <c r="G76" i="3" s="1"/>
  <c r="K76" i="3" s="1"/>
  <c r="J195" i="2"/>
  <c r="H195" i="2" s="1"/>
  <c r="G195" i="3" s="1"/>
  <c r="K195" i="3" s="1"/>
  <c r="V251" i="2"/>
  <c r="V509" i="2"/>
  <c r="J295" i="2"/>
  <c r="H295" i="2" s="1"/>
  <c r="G295" i="3" s="1"/>
  <c r="K295" i="3" s="1"/>
  <c r="J309" i="2"/>
  <c r="H309" i="2" s="1"/>
  <c r="G309" i="3" s="1"/>
  <c r="K309" i="3" s="1"/>
  <c r="M87" i="3"/>
  <c r="V159" i="2"/>
  <c r="V500" i="2"/>
  <c r="J143" i="2"/>
  <c r="H143" i="2" s="1"/>
  <c r="G143" i="3" s="1"/>
  <c r="K143" i="3" s="1"/>
  <c r="J619" i="2"/>
  <c r="H619" i="2" s="1"/>
  <c r="G619" i="3" s="1"/>
  <c r="K619" i="3" s="1"/>
  <c r="V649" i="2"/>
  <c r="J263" i="2"/>
  <c r="H263" i="2" s="1"/>
  <c r="G263" i="3" s="1"/>
  <c r="K263" i="3" s="1"/>
  <c r="V308" i="2"/>
  <c r="J498" i="2"/>
  <c r="H498" i="2" s="1"/>
  <c r="G498" i="3" s="1"/>
  <c r="K498" i="3" s="1"/>
  <c r="J242" i="2"/>
  <c r="H242" i="2" s="1"/>
  <c r="G242" i="3" s="1"/>
  <c r="K242" i="3" s="1"/>
  <c r="V419" i="2"/>
  <c r="J695" i="2"/>
  <c r="H695" i="2" s="1"/>
  <c r="G695" i="3" s="1"/>
  <c r="K695" i="3" s="1"/>
  <c r="J66" i="2"/>
  <c r="H66" i="2" s="1"/>
  <c r="G66" i="3" s="1"/>
  <c r="K66" i="3" s="1"/>
  <c r="J285" i="2"/>
  <c r="H285" i="2" s="1"/>
  <c r="G285" i="3" s="1"/>
  <c r="K285" i="3" s="1"/>
  <c r="J384" i="2"/>
  <c r="H384" i="2" s="1"/>
  <c r="G384" i="3" s="1"/>
  <c r="K384" i="3" s="1"/>
  <c r="M667" i="3"/>
  <c r="J562" i="2"/>
  <c r="H562" i="2" s="1"/>
  <c r="G562" i="3" s="1"/>
  <c r="K562" i="3" s="1"/>
  <c r="J385" i="2"/>
  <c r="H385" i="2" s="1"/>
  <c r="G385" i="3" s="1"/>
  <c r="K385" i="3" s="1"/>
  <c r="V402" i="2"/>
  <c r="V571" i="2"/>
  <c r="V290" i="2"/>
  <c r="V506" i="2"/>
  <c r="V724" i="2"/>
  <c r="V430" i="2"/>
  <c r="V652" i="2"/>
  <c r="J59" i="2"/>
  <c r="H59" i="2" s="1"/>
  <c r="G59" i="3" s="1"/>
  <c r="K59" i="3" s="1"/>
  <c r="V75" i="2"/>
  <c r="J210" i="2"/>
  <c r="H210" i="2" s="1"/>
  <c r="G210" i="3" s="1"/>
  <c r="K210" i="3" s="1"/>
  <c r="J675" i="2"/>
  <c r="H675" i="2" s="1"/>
  <c r="G675" i="3" s="1"/>
  <c r="K675" i="3" s="1"/>
  <c r="V364" i="2"/>
  <c r="V432" i="2"/>
  <c r="V587" i="2"/>
  <c r="V768" i="2"/>
  <c r="V389" i="2"/>
  <c r="V444" i="2"/>
  <c r="V722" i="2"/>
  <c r="V691" i="2"/>
  <c r="V176" i="2"/>
  <c r="V583" i="2"/>
  <c r="V557" i="2"/>
  <c r="V466" i="2"/>
  <c r="V763" i="2"/>
  <c r="J495" i="2"/>
  <c r="H495" i="2" s="1"/>
  <c r="G495" i="3" s="1"/>
  <c r="K495" i="3" s="1"/>
  <c r="J728" i="2"/>
  <c r="H728" i="2" s="1"/>
  <c r="G728" i="3" s="1"/>
  <c r="K728" i="3" s="1"/>
  <c r="V429" i="2"/>
  <c r="V218" i="2"/>
  <c r="J122" i="2"/>
  <c r="H122" i="2" s="1"/>
  <c r="G122" i="3" s="1"/>
  <c r="K122" i="3" s="1"/>
  <c r="J698" i="2"/>
  <c r="H698" i="2" s="1"/>
  <c r="G698" i="3" s="1"/>
  <c r="K698" i="3" s="1"/>
  <c r="V560" i="2"/>
  <c r="V37" i="2"/>
  <c r="V171" i="2"/>
  <c r="V29" i="2"/>
  <c r="V580" i="2"/>
  <c r="V403" i="2"/>
  <c r="V479" i="2"/>
  <c r="J248" i="2"/>
  <c r="H248" i="2" s="1"/>
  <c r="G248" i="3" s="1"/>
  <c r="K248" i="3" s="1"/>
  <c r="V613" i="2"/>
  <c r="V521" i="2"/>
  <c r="V762" i="2"/>
  <c r="V469" i="2"/>
  <c r="V696" i="2"/>
  <c r="V80" i="2"/>
  <c r="J395" i="2"/>
  <c r="H395" i="2" s="1"/>
  <c r="G395" i="3" s="1"/>
  <c r="K395" i="3" s="1"/>
  <c r="V109" i="2"/>
  <c r="V100" i="2"/>
  <c r="V126" i="2"/>
  <c r="V302" i="2"/>
  <c r="V279" i="2"/>
  <c r="V269" i="2"/>
  <c r="V166" i="2"/>
  <c r="V692" i="2"/>
  <c r="V33" i="2"/>
  <c r="V349" i="2"/>
  <c r="J101" i="2"/>
  <c r="H101" i="2" s="1"/>
  <c r="G101" i="3" s="1"/>
  <c r="K101" i="3" s="1"/>
  <c r="V227" i="2"/>
  <c r="J659" i="2"/>
  <c r="H659" i="2" s="1"/>
  <c r="G659" i="3" s="1"/>
  <c r="K659" i="3" s="1"/>
  <c r="V295" i="2"/>
  <c r="V606" i="2"/>
  <c r="V477" i="2"/>
  <c r="V709" i="2"/>
  <c r="V470" i="2"/>
  <c r="V684" i="2"/>
  <c r="V483" i="2"/>
  <c r="J125" i="2"/>
  <c r="H125" i="2" s="1"/>
  <c r="G125" i="3" s="1"/>
  <c r="K125" i="3" s="1"/>
  <c r="J404" i="2"/>
  <c r="H404" i="2" s="1"/>
  <c r="G404" i="3" s="1"/>
  <c r="K404" i="3" s="1"/>
  <c r="V230" i="2"/>
  <c r="V121" i="2"/>
  <c r="V387" i="2"/>
  <c r="J272" i="2"/>
  <c r="H272" i="2" s="1"/>
  <c r="G272" i="3" s="1"/>
  <c r="K272" i="3" s="1"/>
  <c r="V172" i="2"/>
  <c r="V556" i="2"/>
  <c r="J535" i="2"/>
  <c r="H535" i="2" s="1"/>
  <c r="G535" i="3" s="1"/>
  <c r="K535" i="3" s="1"/>
  <c r="J546" i="2"/>
  <c r="H546" i="2" s="1"/>
  <c r="G546" i="3" s="1"/>
  <c r="K546" i="3" s="1"/>
  <c r="V685" i="2"/>
  <c r="V737" i="2"/>
  <c r="J67" i="2"/>
  <c r="H67" i="2" s="1"/>
  <c r="G67" i="3" s="1"/>
  <c r="K67" i="3" s="1"/>
  <c r="J586" i="2"/>
  <c r="H586" i="2" s="1"/>
  <c r="G586" i="3" s="1"/>
  <c r="K586" i="3" s="1"/>
  <c r="V370" i="2"/>
  <c r="J763" i="2"/>
  <c r="H763" i="2" s="1"/>
  <c r="G763" i="3" s="1"/>
  <c r="K763" i="3" s="1"/>
  <c r="V511" i="2"/>
  <c r="V464" i="2"/>
  <c r="J33" i="2"/>
  <c r="H33" i="2" s="1"/>
  <c r="G33" i="3" s="1"/>
  <c r="K33" i="3" s="1"/>
  <c r="J349" i="2"/>
  <c r="H349" i="2" s="1"/>
  <c r="G349" i="3" s="1"/>
  <c r="K349" i="3" s="1"/>
  <c r="J762" i="2"/>
  <c r="H762" i="2" s="1"/>
  <c r="G762" i="3" s="1"/>
  <c r="V395" i="2"/>
  <c r="V301" i="2"/>
  <c r="V240" i="2"/>
  <c r="V459" i="2"/>
  <c r="V193" i="2"/>
  <c r="J148" i="2"/>
  <c r="H148" i="2" s="1"/>
  <c r="G148" i="3" s="1"/>
  <c r="K148" i="3" s="1"/>
  <c r="V331" i="2"/>
  <c r="J409" i="2"/>
  <c r="H409" i="2" s="1"/>
  <c r="G409" i="3" s="1"/>
  <c r="K409" i="3" s="1"/>
  <c r="V615" i="2"/>
  <c r="J484" i="2"/>
  <c r="H484" i="2" s="1"/>
  <c r="G484" i="3" s="1"/>
  <c r="K484" i="3" s="1"/>
  <c r="V252" i="2"/>
  <c r="J752" i="2"/>
  <c r="H752" i="2" s="1"/>
  <c r="G752" i="3" s="1"/>
  <c r="K752" i="3" s="1"/>
  <c r="J580" i="2"/>
  <c r="H580" i="2" s="1"/>
  <c r="G580" i="3" s="1"/>
  <c r="K580" i="3" s="1"/>
  <c r="V537" i="2"/>
  <c r="V41" i="2"/>
  <c r="J482" i="2"/>
  <c r="H482" i="2" s="1"/>
  <c r="G482" i="3" s="1"/>
  <c r="K482" i="3" s="1"/>
  <c r="M670" i="3"/>
  <c r="J479" i="2"/>
  <c r="H479" i="2" s="1"/>
  <c r="G479" i="3" s="1"/>
  <c r="K479" i="3" s="1"/>
  <c r="V281" i="2"/>
  <c r="J360" i="2"/>
  <c r="H360" i="2" s="1"/>
  <c r="G360" i="3" s="1"/>
  <c r="K360" i="3" s="1"/>
  <c r="J37" i="2"/>
  <c r="H37" i="2" s="1"/>
  <c r="G37" i="3" s="1"/>
  <c r="K37" i="3" s="1"/>
  <c r="J560" i="2"/>
  <c r="H560" i="2" s="1"/>
  <c r="G560" i="3" s="1"/>
  <c r="K560" i="3" s="1"/>
  <c r="V242" i="2"/>
  <c r="V461" i="2"/>
  <c r="V123" i="2"/>
  <c r="V169" i="2"/>
  <c r="V125" i="2"/>
  <c r="J406" i="2"/>
  <c r="H406" i="2" s="1"/>
  <c r="G406" i="3" s="1"/>
  <c r="K406" i="3" s="1"/>
  <c r="V361" i="2"/>
  <c r="J577" i="2"/>
  <c r="H577" i="2" s="1"/>
  <c r="G577" i="3" s="1"/>
  <c r="K577" i="3" s="1"/>
  <c r="V700" i="2"/>
  <c r="V156" i="2"/>
  <c r="V196" i="2"/>
  <c r="J196" i="2"/>
  <c r="H196" i="2" s="1"/>
  <c r="G196" i="3" s="1"/>
  <c r="K196" i="3" s="1"/>
  <c r="V627" i="2"/>
  <c r="J627" i="2"/>
  <c r="H627" i="2" s="1"/>
  <c r="G627" i="3" s="1"/>
  <c r="K627" i="3" s="1"/>
  <c r="V728" i="2"/>
  <c r="J544" i="2"/>
  <c r="H544" i="2" s="1"/>
  <c r="G544" i="3" s="1"/>
  <c r="K544" i="3" s="1"/>
  <c r="J416" i="2"/>
  <c r="H416" i="2" s="1"/>
  <c r="G416" i="3" s="1"/>
  <c r="K416" i="3" s="1"/>
  <c r="J296" i="2"/>
  <c r="H296" i="2" s="1"/>
  <c r="G296" i="3" s="1"/>
  <c r="K296" i="3" s="1"/>
  <c r="V492" i="2"/>
  <c r="V487" i="2"/>
  <c r="J468" i="2"/>
  <c r="H468" i="2" s="1"/>
  <c r="G468" i="3" s="1"/>
  <c r="K468" i="3" s="1"/>
  <c r="V495" i="2"/>
  <c r="J733" i="2"/>
  <c r="H733" i="2" s="1"/>
  <c r="G733" i="3" s="1"/>
  <c r="K733" i="3" s="1"/>
  <c r="J521" i="2"/>
  <c r="H521" i="2" s="1"/>
  <c r="G521" i="3" s="1"/>
  <c r="K521" i="3" s="1"/>
  <c r="J469" i="2"/>
  <c r="H469" i="2" s="1"/>
  <c r="G469" i="3" s="1"/>
  <c r="K469" i="3" s="1"/>
  <c r="J279" i="2"/>
  <c r="H279" i="2" s="1"/>
  <c r="G279" i="3" s="1"/>
  <c r="K279" i="3" s="1"/>
  <c r="J126" i="2"/>
  <c r="H126" i="2" s="1"/>
  <c r="G126" i="3" s="1"/>
  <c r="K126" i="3" s="1"/>
  <c r="V271" i="2"/>
  <c r="V214" i="2"/>
  <c r="J214" i="2"/>
  <c r="H214" i="2" s="1"/>
  <c r="G214" i="3" s="1"/>
  <c r="K214" i="3" s="1"/>
  <c r="V285" i="2"/>
  <c r="V460" i="2"/>
  <c r="J227" i="2"/>
  <c r="H227" i="2" s="1"/>
  <c r="G227" i="3" s="1"/>
  <c r="K227" i="3" s="1"/>
  <c r="J709" i="2"/>
  <c r="H709" i="2" s="1"/>
  <c r="G709" i="3" s="1"/>
  <c r="K709" i="3" s="1"/>
  <c r="T450" i="2"/>
  <c r="V358" i="2"/>
  <c r="J436" i="2"/>
  <c r="H436" i="2" s="1"/>
  <c r="G436" i="3" s="1"/>
  <c r="K436" i="3" s="1"/>
  <c r="V527" i="2"/>
  <c r="J245" i="2"/>
  <c r="H245" i="2" s="1"/>
  <c r="G245" i="3" s="1"/>
  <c r="K245" i="3" s="1"/>
  <c r="V671" i="2"/>
  <c r="J49" i="2"/>
  <c r="H49" i="2" s="1"/>
  <c r="G49" i="3" s="1"/>
  <c r="K49" i="3" s="1"/>
  <c r="J400" i="2"/>
  <c r="H400" i="2" s="1"/>
  <c r="G400" i="3" s="1"/>
  <c r="K400" i="3" s="1"/>
  <c r="V198" i="2"/>
  <c r="V18" i="2"/>
  <c r="V81" i="2"/>
  <c r="T589" i="2"/>
  <c r="V698" i="2"/>
  <c r="J578" i="2"/>
  <c r="H578" i="2" s="1"/>
  <c r="G578" i="3" s="1"/>
  <c r="K578" i="3" s="1"/>
  <c r="J19" i="2"/>
  <c r="H19" i="2" s="1"/>
  <c r="G19" i="3" s="1"/>
  <c r="K19" i="3" s="1"/>
  <c r="V533" i="2"/>
  <c r="V350" i="2"/>
  <c r="V405" i="2"/>
  <c r="V170" i="2"/>
  <c r="J200" i="2"/>
  <c r="H200" i="2" s="1"/>
  <c r="G200" i="3" s="1"/>
  <c r="K200" i="3" s="1"/>
  <c r="V486" i="2"/>
  <c r="J594" i="2"/>
  <c r="H594" i="2" s="1"/>
  <c r="G594" i="3" s="1"/>
  <c r="K594" i="3" s="1"/>
  <c r="T63" i="2"/>
  <c r="V58" i="2"/>
  <c r="V20" i="2"/>
  <c r="J179" i="2"/>
  <c r="H179" i="2" s="1"/>
  <c r="G179" i="3" s="1"/>
  <c r="K179" i="3" s="1"/>
  <c r="V327" i="2"/>
  <c r="V102" i="2"/>
  <c r="V616" i="2"/>
  <c r="J745" i="2"/>
  <c r="H745" i="2" s="1"/>
  <c r="G745" i="3" s="1"/>
  <c r="K745" i="3" s="1"/>
  <c r="J568" i="2"/>
  <c r="H568" i="2" s="1"/>
  <c r="G568" i="3" s="1"/>
  <c r="K568" i="3" s="1"/>
  <c r="J604" i="2"/>
  <c r="H604" i="2" s="1"/>
  <c r="J633" i="2"/>
  <c r="H633" i="2" s="1"/>
  <c r="G633" i="3" s="1"/>
  <c r="K633" i="3" s="1"/>
  <c r="J677" i="2"/>
  <c r="H677" i="2" s="1"/>
  <c r="G677" i="3" s="1"/>
  <c r="K677" i="3" s="1"/>
  <c r="V454" i="2"/>
  <c r="J119" i="2"/>
  <c r="H119" i="2" s="1"/>
  <c r="G119" i="3" s="1"/>
  <c r="K119" i="3" s="1"/>
  <c r="J725" i="2"/>
  <c r="H725" i="2" s="1"/>
  <c r="G725" i="3" s="1"/>
  <c r="K725" i="3" s="1"/>
  <c r="J176" i="2"/>
  <c r="H176" i="2" s="1"/>
  <c r="G176" i="3" s="1"/>
  <c r="K176" i="3" s="1"/>
  <c r="J754" i="2"/>
  <c r="H754" i="2" s="1"/>
  <c r="G754" i="3" s="1"/>
  <c r="K754" i="3" s="1"/>
  <c r="V351" i="2"/>
  <c r="V394" i="2"/>
  <c r="V584" i="2"/>
  <c r="J171" i="2"/>
  <c r="H171" i="2" s="1"/>
  <c r="G171" i="3" s="1"/>
  <c r="K171" i="3" s="1"/>
  <c r="J429" i="2"/>
  <c r="H429" i="2" s="1"/>
  <c r="G429" i="3" s="1"/>
  <c r="K429" i="3" s="1"/>
  <c r="J692" i="2"/>
  <c r="H692" i="2" s="1"/>
  <c r="G692" i="3" s="1"/>
  <c r="K692" i="3" s="1"/>
  <c r="J302" i="2"/>
  <c r="H302" i="2" s="1"/>
  <c r="G302" i="3" s="1"/>
  <c r="K302" i="3" s="1"/>
  <c r="J100" i="2"/>
  <c r="H100" i="2" s="1"/>
  <c r="G100" i="3" s="1"/>
  <c r="K100" i="3" s="1"/>
  <c r="V482" i="2"/>
  <c r="J386" i="2"/>
  <c r="H386" i="2" s="1"/>
  <c r="G386" i="3" s="1"/>
  <c r="K386" i="3" s="1"/>
  <c r="J734" i="2"/>
  <c r="H734" i="2" s="1"/>
  <c r="G734" i="3" s="1"/>
  <c r="K734" i="3" s="1"/>
  <c r="V670" i="2"/>
  <c r="T288" i="2"/>
  <c r="V363" i="2"/>
  <c r="T644" i="2"/>
  <c r="V130" i="2"/>
  <c r="T207" i="2"/>
  <c r="V140" i="2"/>
  <c r="V36" i="2"/>
  <c r="J312" i="2"/>
  <c r="H312" i="2" s="1"/>
  <c r="G312" i="3" s="1"/>
  <c r="K312" i="3" s="1"/>
  <c r="J149" i="2"/>
  <c r="H149" i="2" s="1"/>
  <c r="G149" i="3" s="1"/>
  <c r="K149" i="3" s="1"/>
  <c r="V452" i="2"/>
  <c r="V598" i="2"/>
  <c r="T255" i="2"/>
  <c r="V437" i="2"/>
  <c r="J53" i="2"/>
  <c r="H53" i="2" s="1"/>
  <c r="G53" i="3" s="1"/>
  <c r="K53" i="3" s="1"/>
  <c r="J460" i="2"/>
  <c r="H460" i="2" s="1"/>
  <c r="G460" i="3" s="1"/>
  <c r="K460" i="3" s="1"/>
  <c r="J346" i="2"/>
  <c r="H346" i="2" s="1"/>
  <c r="G346" i="3" s="1"/>
  <c r="K346" i="3" s="1"/>
  <c r="J738" i="2"/>
  <c r="H738" i="2" s="1"/>
  <c r="G738" i="3" s="1"/>
  <c r="K738" i="3" s="1"/>
  <c r="V738" i="2"/>
  <c r="J757" i="2"/>
  <c r="H757" i="2" s="1"/>
  <c r="G757" i="3" s="1"/>
  <c r="K757" i="3" s="1"/>
  <c r="J483" i="2"/>
  <c r="H483" i="2" s="1"/>
  <c r="G483" i="3" s="1"/>
  <c r="K483" i="3" s="1"/>
  <c r="V693" i="2"/>
  <c r="J693" i="2"/>
  <c r="H693" i="2" s="1"/>
  <c r="G693" i="3" s="1"/>
  <c r="K693" i="3" s="1"/>
  <c r="J606" i="2"/>
  <c r="H606" i="2" s="1"/>
  <c r="G606" i="3" s="1"/>
  <c r="K606" i="3" s="1"/>
  <c r="V659" i="2"/>
  <c r="J237" i="2"/>
  <c r="H237" i="2" s="1"/>
  <c r="G237" i="3" s="1"/>
  <c r="K237" i="3" s="1"/>
  <c r="V400" i="2"/>
  <c r="V518" i="2"/>
  <c r="J518" i="2"/>
  <c r="H518" i="2" s="1"/>
  <c r="G518" i="3" s="1"/>
  <c r="K518" i="3" s="1"/>
  <c r="J50" i="2"/>
  <c r="H50" i="2" s="1"/>
  <c r="G50" i="3" s="1"/>
  <c r="K50" i="3" s="1"/>
  <c r="J492" i="2"/>
  <c r="H492" i="2" s="1"/>
  <c r="G492" i="3" s="1"/>
  <c r="K492" i="3" s="1"/>
  <c r="J335" i="2"/>
  <c r="H335" i="2" s="1"/>
  <c r="G335" i="3" s="1"/>
  <c r="K335" i="3" s="1"/>
  <c r="V747" i="2"/>
  <c r="J162" i="2"/>
  <c r="H162" i="2" s="1"/>
  <c r="G162" i="3" s="1"/>
  <c r="K162" i="3" s="1"/>
  <c r="V712" i="2"/>
  <c r="V257" i="2"/>
  <c r="V61" i="2"/>
  <c r="J306" i="2"/>
  <c r="H306" i="2" s="1"/>
  <c r="G306" i="3" s="1"/>
  <c r="J721" i="2"/>
  <c r="H721" i="2" s="1"/>
  <c r="G721" i="3" s="1"/>
  <c r="J29" i="2"/>
  <c r="H29" i="2" s="1"/>
  <c r="G29" i="3" s="1"/>
  <c r="K29" i="3" s="1"/>
  <c r="V203" i="2"/>
  <c r="V365" i="2"/>
  <c r="V666" i="2"/>
  <c r="V401" i="2"/>
  <c r="V104" i="2"/>
  <c r="J258" i="2"/>
  <c r="H258" i="2" s="1"/>
  <c r="G258" i="3" s="1"/>
  <c r="K258" i="3" s="1"/>
  <c r="J625" i="2"/>
  <c r="H625" i="2" s="1"/>
  <c r="G625" i="3" s="1"/>
  <c r="K625" i="3" s="1"/>
  <c r="V52" i="2"/>
  <c r="V489" i="2"/>
  <c r="J51" i="2"/>
  <c r="H51" i="2" s="1"/>
  <c r="G51" i="3" s="1"/>
  <c r="K51" i="3" s="1"/>
  <c r="V576" i="2"/>
  <c r="J324" i="2"/>
  <c r="H324" i="2" s="1"/>
  <c r="G324" i="3" s="1"/>
  <c r="K324" i="3" s="1"/>
  <c r="V362" i="2"/>
  <c r="V30" i="2"/>
  <c r="J178" i="2"/>
  <c r="H178" i="2" s="1"/>
  <c r="G178" i="3" s="1"/>
  <c r="K178" i="3" s="1"/>
  <c r="J417" i="2"/>
  <c r="H417" i="2" s="1"/>
  <c r="G417" i="3" s="1"/>
  <c r="K417" i="3" s="1"/>
  <c r="J444" i="2"/>
  <c r="H444" i="2" s="1"/>
  <c r="G444" i="3" s="1"/>
  <c r="K444" i="3" s="1"/>
  <c r="J276" i="2"/>
  <c r="H276" i="2" s="1"/>
  <c r="G276" i="3" s="1"/>
  <c r="K276" i="3" s="1"/>
  <c r="V310" i="2"/>
  <c r="J583" i="2"/>
  <c r="H583" i="2" s="1"/>
  <c r="G583" i="3" s="1"/>
  <c r="K583" i="3" s="1"/>
  <c r="V770" i="2"/>
  <c r="J46" i="2"/>
  <c r="H46" i="2" s="1"/>
  <c r="G46" i="3" s="1"/>
  <c r="K46" i="3" s="1"/>
  <c r="V160" i="2"/>
  <c r="J277" i="2"/>
  <c r="H277" i="2" s="1"/>
  <c r="G277" i="3" s="1"/>
  <c r="K277" i="3" s="1"/>
  <c r="J323" i="2"/>
  <c r="H323" i="2" s="1"/>
  <c r="G323" i="3" s="1"/>
  <c r="K323" i="3" s="1"/>
  <c r="V634" i="2"/>
  <c r="J505" i="2"/>
  <c r="H505" i="2" s="1"/>
  <c r="G505" i="3" s="1"/>
  <c r="K505" i="3" s="1"/>
  <c r="V654" i="2"/>
  <c r="J672" i="2"/>
  <c r="H672" i="2" s="1"/>
  <c r="G672" i="3" s="1"/>
  <c r="K672" i="3" s="1"/>
  <c r="J523" i="2"/>
  <c r="H523" i="2" s="1"/>
  <c r="G523" i="3" s="1"/>
  <c r="K523" i="3" s="1"/>
  <c r="J86" i="2"/>
  <c r="H86" i="2" s="1"/>
  <c r="G86" i="3" s="1"/>
  <c r="K86" i="3" s="1"/>
  <c r="V647" i="2"/>
  <c r="V453" i="2"/>
  <c r="V561" i="2"/>
  <c r="V496" i="2"/>
  <c r="T440" i="2"/>
  <c r="J773" i="2"/>
  <c r="H773" i="2" s="1"/>
  <c r="G773" i="3" s="1"/>
  <c r="K773" i="3" s="1"/>
  <c r="J447" i="2"/>
  <c r="H447" i="2" s="1"/>
  <c r="G447" i="3" s="1"/>
  <c r="K447" i="3" s="1"/>
  <c r="V730" i="2"/>
  <c r="V186" i="2"/>
  <c r="J600" i="2"/>
  <c r="H600" i="2" s="1"/>
  <c r="G600" i="3" s="1"/>
  <c r="K600" i="3" s="1"/>
  <c r="J515" i="2"/>
  <c r="H515" i="2" s="1"/>
  <c r="V142" i="2"/>
  <c r="V250" i="2"/>
  <c r="V490" i="2"/>
  <c r="J94" i="2"/>
  <c r="H94" i="2" s="1"/>
  <c r="G94" i="3" s="1"/>
  <c r="K94" i="3" s="1"/>
  <c r="J348" i="2"/>
  <c r="H348" i="2" s="1"/>
  <c r="G348" i="3" s="1"/>
  <c r="K348" i="3" s="1"/>
  <c r="J131" i="2"/>
  <c r="H131" i="2" s="1"/>
  <c r="G131" i="3" s="1"/>
  <c r="K131" i="3" s="1"/>
  <c r="V391" i="2"/>
  <c r="J21" i="2"/>
  <c r="H21" i="2" s="1"/>
  <c r="G21" i="3" s="1"/>
  <c r="K21" i="3" s="1"/>
  <c r="V687" i="2"/>
  <c r="J435" i="2"/>
  <c r="H435" i="2" s="1"/>
  <c r="G435" i="3" s="1"/>
  <c r="K435" i="3" s="1"/>
  <c r="V204" i="2"/>
  <c r="V199" i="2"/>
  <c r="J539" i="2"/>
  <c r="H539" i="2" s="1"/>
  <c r="G539" i="3" s="1"/>
  <c r="K539" i="3" s="1"/>
  <c r="J477" i="2"/>
  <c r="H477" i="2" s="1"/>
  <c r="G477" i="3" s="1"/>
  <c r="K477" i="3" s="1"/>
  <c r="V297" i="2"/>
  <c r="J744" i="2"/>
  <c r="H744" i="2" s="1"/>
  <c r="G744" i="3" s="1"/>
  <c r="K744" i="3" s="1"/>
  <c r="V98" i="2"/>
  <c r="V194" i="2"/>
  <c r="V418" i="2"/>
  <c r="J765" i="2"/>
  <c r="H765" i="2" s="1"/>
  <c r="G765" i="3" s="1"/>
  <c r="K765" i="3" s="1"/>
  <c r="V392" i="2"/>
  <c r="V665" i="2"/>
  <c r="V187" i="2"/>
  <c r="J216" i="2"/>
  <c r="H216" i="2" s="1"/>
  <c r="G216" i="3" s="1"/>
  <c r="K216" i="3" s="1"/>
  <c r="J545" i="2"/>
  <c r="H545" i="2" s="1"/>
  <c r="G545" i="3" s="1"/>
  <c r="K545" i="3" s="1"/>
  <c r="J458" i="2"/>
  <c r="H458" i="2" s="1"/>
  <c r="G458" i="3" s="1"/>
  <c r="K458" i="3" s="1"/>
  <c r="V628" i="2"/>
  <c r="J337" i="2"/>
  <c r="H337" i="2" s="1"/>
  <c r="G337" i="3" s="1"/>
  <c r="K337" i="3" s="1"/>
  <c r="J280" i="2"/>
  <c r="H280" i="2" s="1"/>
  <c r="G280" i="3" s="1"/>
  <c r="K280" i="3" s="1"/>
  <c r="J463" i="2"/>
  <c r="H463" i="2" s="1"/>
  <c r="G463" i="3" s="1"/>
  <c r="K463" i="3" s="1"/>
  <c r="V101" i="2"/>
  <c r="J241" i="2"/>
  <c r="H241" i="2" s="1"/>
  <c r="G241" i="3" s="1"/>
  <c r="K241" i="3" s="1"/>
  <c r="V158" i="2"/>
  <c r="J593" i="2"/>
  <c r="H593" i="2" s="1"/>
  <c r="G593" i="3" s="1"/>
  <c r="K593" i="3" s="1"/>
  <c r="J264" i="2"/>
  <c r="H264" i="2" s="1"/>
  <c r="G264" i="3" s="1"/>
  <c r="K264" i="3" s="1"/>
  <c r="J364" i="2"/>
  <c r="H364" i="2" s="1"/>
  <c r="G364" i="3" s="1"/>
  <c r="K364" i="3" s="1"/>
  <c r="V569" i="2"/>
  <c r="J640" i="2"/>
  <c r="H640" i="2" s="1"/>
  <c r="G640" i="3" s="1"/>
  <c r="K640" i="3" s="1"/>
  <c r="V716" i="2"/>
  <c r="J259" i="2"/>
  <c r="H259" i="2" s="1"/>
  <c r="G259" i="3" s="1"/>
  <c r="K259" i="3" s="1"/>
  <c r="V428" i="2"/>
  <c r="J731" i="2"/>
  <c r="H731" i="2" s="1"/>
  <c r="G731" i="3" s="1"/>
  <c r="K731" i="3" s="1"/>
  <c r="V618" i="2"/>
  <c r="V275" i="2"/>
  <c r="J336" i="2"/>
  <c r="H336" i="2" s="1"/>
  <c r="G336" i="3" s="1"/>
  <c r="K336" i="3" s="1"/>
  <c r="V735" i="2"/>
  <c r="V448" i="2"/>
  <c r="J749" i="2"/>
  <c r="H749" i="2" s="1"/>
  <c r="G749" i="3" s="1"/>
  <c r="K749" i="3" s="1"/>
  <c r="J683" i="2"/>
  <c r="H683" i="2" s="1"/>
  <c r="G683" i="3" s="1"/>
  <c r="K683" i="3" s="1"/>
  <c r="V582" i="2"/>
  <c r="J370" i="2"/>
  <c r="H370" i="2" s="1"/>
  <c r="G370" i="3" s="1"/>
  <c r="K370" i="3" s="1"/>
  <c r="J246" i="2"/>
  <c r="H246" i="2" s="1"/>
  <c r="G246" i="3" s="1"/>
  <c r="K246" i="3" s="1"/>
  <c r="V676" i="2"/>
  <c r="V205" i="2"/>
  <c r="V617" i="2"/>
  <c r="T151" i="2"/>
  <c r="V141" i="2"/>
  <c r="V424" i="2"/>
  <c r="J57" i="2"/>
  <c r="H57" i="2" s="1"/>
  <c r="G57" i="3" s="1"/>
  <c r="K57" i="3" s="1"/>
  <c r="V67" i="2"/>
  <c r="V542" i="2"/>
  <c r="T43" i="2"/>
  <c r="V752" i="2"/>
  <c r="V314" i="2"/>
  <c r="V488" i="2"/>
  <c r="V338" i="2"/>
  <c r="V45" i="2"/>
  <c r="J510" i="2"/>
  <c r="H510" i="2" s="1"/>
  <c r="G510" i="3" s="1"/>
  <c r="K510" i="3" s="1"/>
  <c r="V282" i="2"/>
  <c r="V407" i="2"/>
  <c r="J128" i="2"/>
  <c r="H128" i="2" s="1"/>
  <c r="G128" i="3" s="1"/>
  <c r="K128" i="3" s="1"/>
  <c r="J228" i="2"/>
  <c r="H228" i="2" s="1"/>
  <c r="G228" i="3" s="1"/>
  <c r="K228" i="3" s="1"/>
  <c r="J614" i="2"/>
  <c r="H614" i="2" s="1"/>
  <c r="G614" i="3" s="1"/>
  <c r="K614" i="3" s="1"/>
  <c r="V746" i="2"/>
  <c r="J212" i="2"/>
  <c r="H212" i="2" s="1"/>
  <c r="G212" i="3" s="1"/>
  <c r="K212" i="3" s="1"/>
  <c r="J367" i="2"/>
  <c r="H367" i="2" s="1"/>
  <c r="G367" i="3" s="1"/>
  <c r="K367" i="3" s="1"/>
  <c r="J78" i="2"/>
  <c r="H78" i="2" s="1"/>
  <c r="G78" i="3" s="1"/>
  <c r="K78" i="3" s="1"/>
  <c r="J84" i="2"/>
  <c r="H84" i="2" s="1"/>
  <c r="G84" i="3" s="1"/>
  <c r="K84" i="3" s="1"/>
  <c r="V374" i="2"/>
  <c r="J507" i="2"/>
  <c r="H507" i="2" s="1"/>
  <c r="G507" i="3" s="1"/>
  <c r="K507" i="3" s="1"/>
  <c r="J656" i="2"/>
  <c r="H656" i="2" s="1"/>
  <c r="G656" i="3" s="1"/>
  <c r="K656" i="3" s="1"/>
  <c r="J209" i="2"/>
  <c r="H209" i="2" s="1"/>
  <c r="V120" i="2"/>
  <c r="J153" i="2"/>
  <c r="H153" i="2" s="1"/>
  <c r="J555" i="2"/>
  <c r="H555" i="2" s="1"/>
  <c r="G555" i="3" s="1"/>
  <c r="K555" i="3" s="1"/>
  <c r="J485" i="2"/>
  <c r="H485" i="2" s="1"/>
  <c r="G485" i="3" s="1"/>
  <c r="K485" i="3" s="1"/>
  <c r="V60" i="2"/>
  <c r="V352" i="2"/>
  <c r="V371" i="2"/>
  <c r="V567" i="2"/>
  <c r="J620" i="2"/>
  <c r="H620" i="2" s="1"/>
  <c r="G620" i="3" s="1"/>
  <c r="K620" i="3" s="1"/>
  <c r="V673" i="2"/>
  <c r="V167" i="2"/>
  <c r="J307" i="2"/>
  <c r="H307" i="2" s="1"/>
  <c r="G307" i="3" s="1"/>
  <c r="K307" i="3" s="1"/>
  <c r="J478" i="2"/>
  <c r="H478" i="2" s="1"/>
  <c r="G478" i="3" s="1"/>
  <c r="K478" i="3" s="1"/>
  <c r="J699" i="2"/>
  <c r="H699" i="2" s="1"/>
  <c r="G699" i="3" s="1"/>
  <c r="K699" i="3" s="1"/>
  <c r="J722" i="2"/>
  <c r="H722" i="2" s="1"/>
  <c r="G722" i="3" s="1"/>
  <c r="K722" i="3" s="1"/>
  <c r="J509" i="2"/>
  <c r="H509" i="2" s="1"/>
  <c r="G509" i="3" s="1"/>
  <c r="K509" i="3" s="1"/>
  <c r="V145" i="2"/>
  <c r="J251" i="2"/>
  <c r="H251" i="2" s="1"/>
  <c r="G251" i="3" s="1"/>
  <c r="K251" i="3" s="1"/>
  <c r="V660" i="2"/>
  <c r="V586" i="2"/>
  <c r="V508" i="2"/>
  <c r="J691" i="2"/>
  <c r="H691" i="2" s="1"/>
  <c r="G691" i="3" s="1"/>
  <c r="K691" i="3" s="1"/>
  <c r="J413" i="2"/>
  <c r="H413" i="2" s="1"/>
  <c r="G413" i="3" s="1"/>
  <c r="K413" i="3" s="1"/>
  <c r="J736" i="2"/>
  <c r="H736" i="2" s="1"/>
  <c r="G736" i="3" s="1"/>
  <c r="K736" i="3" s="1"/>
  <c r="V106" i="2"/>
  <c r="V59" i="2"/>
  <c r="V76" i="2"/>
  <c r="J135" i="2"/>
  <c r="H135" i="2" s="1"/>
  <c r="G135" i="3" s="1"/>
  <c r="K135" i="3" s="1"/>
  <c r="J574" i="2"/>
  <c r="H574" i="2" s="1"/>
  <c r="G574" i="3" s="1"/>
  <c r="K574" i="3" s="1"/>
  <c r="V107" i="2"/>
  <c r="J219" i="2"/>
  <c r="H219" i="2" s="1"/>
  <c r="G219" i="3" s="1"/>
  <c r="K219" i="3" s="1"/>
  <c r="J624" i="2"/>
  <c r="H624" i="2" s="1"/>
  <c r="G624" i="3" s="1"/>
  <c r="K624" i="3" s="1"/>
  <c r="V624" i="2"/>
  <c r="V88" i="2"/>
  <c r="J88" i="2"/>
  <c r="H88" i="2" s="1"/>
  <c r="G88" i="3" s="1"/>
  <c r="K88" i="3" s="1"/>
  <c r="T222" i="2"/>
  <c r="J177" i="2"/>
  <c r="H177" i="2" s="1"/>
  <c r="G177" i="3" s="1"/>
  <c r="K177" i="3" s="1"/>
  <c r="V177" i="2"/>
  <c r="V635" i="2"/>
  <c r="J635" i="2"/>
  <c r="H635" i="2" s="1"/>
  <c r="G635" i="3" s="1"/>
  <c r="K635" i="3" s="1"/>
  <c r="V704" i="2"/>
  <c r="J704" i="2"/>
  <c r="H704" i="2" s="1"/>
  <c r="G704" i="3" s="1"/>
  <c r="K704" i="3" s="1"/>
  <c r="J172" i="2"/>
  <c r="H172" i="2" s="1"/>
  <c r="G172" i="3" s="1"/>
  <c r="K172" i="3" s="1"/>
  <c r="V540" i="2"/>
  <c r="J540" i="2"/>
  <c r="H540" i="2" s="1"/>
  <c r="G540" i="3" s="1"/>
  <c r="K540" i="3" s="1"/>
  <c r="V612" i="2"/>
  <c r="J612" i="2"/>
  <c r="H612" i="2" s="1"/>
  <c r="G612" i="3" s="1"/>
  <c r="V729" i="2"/>
  <c r="J729" i="2"/>
  <c r="H729" i="2" s="1"/>
  <c r="G729" i="3" s="1"/>
  <c r="K729" i="3" s="1"/>
  <c r="J347" i="2"/>
  <c r="H347" i="2" s="1"/>
  <c r="G347" i="3" s="1"/>
  <c r="K347" i="3" s="1"/>
  <c r="V732" i="2"/>
  <c r="J732" i="2"/>
  <c r="H732" i="2" s="1"/>
  <c r="G732" i="3" s="1"/>
  <c r="K732" i="3" s="1"/>
  <c r="V225" i="2"/>
  <c r="J225" i="2"/>
  <c r="H225" i="2" s="1"/>
  <c r="G225" i="3" s="1"/>
  <c r="K225" i="3" s="1"/>
  <c r="J389" i="2"/>
  <c r="H389" i="2" s="1"/>
  <c r="G389" i="3" s="1"/>
  <c r="K389" i="3" s="1"/>
  <c r="J742" i="2"/>
  <c r="H742" i="2" s="1"/>
  <c r="G742" i="3" s="1"/>
  <c r="K742" i="3" s="1"/>
  <c r="V742" i="2"/>
  <c r="V404" i="2"/>
  <c r="T662" i="2"/>
  <c r="V427" i="2"/>
  <c r="T24" i="2"/>
  <c r="J81" i="2"/>
  <c r="H81" i="2" s="1"/>
  <c r="G81" i="3" s="1"/>
  <c r="K81" i="3" s="1"/>
  <c r="J121" i="2"/>
  <c r="H121" i="2" s="1"/>
  <c r="G121" i="3" s="1"/>
  <c r="K121" i="3" s="1"/>
  <c r="V359" i="2"/>
  <c r="J359" i="2"/>
  <c r="H359" i="2" s="1"/>
  <c r="G359" i="3" s="1"/>
  <c r="K359" i="3" s="1"/>
  <c r="J333" i="2"/>
  <c r="H333" i="2" s="1"/>
  <c r="G333" i="3" s="1"/>
  <c r="K333" i="3" s="1"/>
  <c r="T329" i="2"/>
  <c r="J462" i="2"/>
  <c r="H462" i="2" s="1"/>
  <c r="G462" i="3" s="1"/>
  <c r="K462" i="3" s="1"/>
  <c r="V462" i="2"/>
  <c r="J688" i="2"/>
  <c r="H688" i="2" s="1"/>
  <c r="G688" i="3" s="1"/>
  <c r="K688" i="3" s="1"/>
  <c r="V688" i="2"/>
  <c r="J133" i="2"/>
  <c r="H133" i="2" s="1"/>
  <c r="G133" i="3" s="1"/>
  <c r="K133" i="3" s="1"/>
  <c r="V133" i="2"/>
  <c r="V622" i="2"/>
  <c r="J622" i="2"/>
  <c r="H622" i="2" s="1"/>
  <c r="G622" i="3" s="1"/>
  <c r="K622" i="3" s="1"/>
  <c r="J573" i="2"/>
  <c r="H573" i="2" s="1"/>
  <c r="G573" i="3" s="1"/>
  <c r="K573" i="3" s="1"/>
  <c r="V573" i="2"/>
  <c r="V347" i="2"/>
  <c r="T341" i="2"/>
  <c r="T376" i="2"/>
  <c r="T680" i="2"/>
  <c r="V682" i="2"/>
  <c r="V708" i="2"/>
  <c r="J708" i="2"/>
  <c r="H708" i="2" s="1"/>
  <c r="T610" i="2"/>
  <c r="T706" i="2"/>
  <c r="J648" i="2"/>
  <c r="H648" i="2" s="1"/>
  <c r="G648" i="3" s="1"/>
  <c r="K648" i="3" s="1"/>
  <c r="V648" i="2"/>
  <c r="J249" i="2"/>
  <c r="H249" i="2" s="1"/>
  <c r="G249" i="3" s="1"/>
  <c r="K249" i="3" s="1"/>
  <c r="V249" i="2"/>
  <c r="V425" i="2"/>
  <c r="J425" i="2"/>
  <c r="H425" i="2" s="1"/>
  <c r="G425" i="3" s="1"/>
  <c r="K425" i="3" s="1"/>
  <c r="V85" i="2"/>
  <c r="J85" i="2"/>
  <c r="H85" i="2" s="1"/>
  <c r="G85" i="3" s="1"/>
  <c r="K85" i="3" s="1"/>
  <c r="V161" i="2"/>
  <c r="J161" i="2"/>
  <c r="H161" i="2" s="1"/>
  <c r="G161" i="3" s="1"/>
  <c r="K161" i="3" s="1"/>
  <c r="V231" i="2"/>
  <c r="J231" i="2"/>
  <c r="H231" i="2" s="1"/>
  <c r="G231" i="3" s="1"/>
  <c r="K231" i="3" s="1"/>
  <c r="J382" i="2"/>
  <c r="H382" i="2" s="1"/>
  <c r="G382" i="3" s="1"/>
  <c r="K382" i="3" s="1"/>
  <c r="V382" i="2"/>
  <c r="J27" i="2"/>
  <c r="H27" i="2" s="1"/>
  <c r="G27" i="3" s="1"/>
  <c r="K27" i="3" s="1"/>
  <c r="V27" i="2"/>
  <c r="J378" i="2"/>
  <c r="H378" i="2" s="1"/>
  <c r="V378" i="2"/>
  <c r="V54" i="2"/>
  <c r="J54" i="2"/>
  <c r="H54" i="2" s="1"/>
  <c r="G54" i="3" s="1"/>
  <c r="K54" i="3" s="1"/>
  <c r="J368" i="2"/>
  <c r="H368" i="2" s="1"/>
  <c r="G368" i="3" s="1"/>
  <c r="K368" i="3" s="1"/>
  <c r="V368" i="2"/>
  <c r="V55" i="2"/>
  <c r="J55" i="2"/>
  <c r="H55" i="2" s="1"/>
  <c r="G55" i="3" s="1"/>
  <c r="K55" i="3" s="1"/>
  <c r="V750" i="2"/>
  <c r="J750" i="2"/>
  <c r="H750" i="2" s="1"/>
  <c r="G750" i="3" s="1"/>
  <c r="K750" i="3" s="1"/>
  <c r="J550" i="2"/>
  <c r="H550" i="2" s="1"/>
  <c r="V550" i="2"/>
  <c r="V701" i="2"/>
  <c r="J701" i="2"/>
  <c r="H701" i="2" s="1"/>
  <c r="G701" i="3" s="1"/>
  <c r="K701" i="3" s="1"/>
  <c r="V144" i="2"/>
  <c r="J144" i="2"/>
  <c r="H144" i="2" s="1"/>
  <c r="G144" i="3" s="1"/>
  <c r="K144" i="3" s="1"/>
  <c r="J147" i="2"/>
  <c r="H147" i="2" s="1"/>
  <c r="G147" i="3" s="1"/>
  <c r="K147" i="3" s="1"/>
  <c r="V147" i="2"/>
  <c r="V442" i="2"/>
  <c r="J442" i="2"/>
  <c r="H442" i="2" s="1"/>
  <c r="G442" i="3" s="1"/>
  <c r="Q440" i="2"/>
  <c r="V380" i="2"/>
  <c r="J380" i="2"/>
  <c r="H380" i="2" s="1"/>
  <c r="G380" i="3" s="1"/>
  <c r="K380" i="3" s="1"/>
  <c r="J556" i="2"/>
  <c r="H556" i="2" s="1"/>
  <c r="G556" i="3" s="1"/>
  <c r="K556" i="3" s="1"/>
  <c r="V180" i="2"/>
  <c r="J180" i="2"/>
  <c r="H180" i="2" s="1"/>
  <c r="G180" i="3" s="1"/>
  <c r="K180" i="3" s="1"/>
  <c r="J585" i="2"/>
  <c r="H585" i="2" s="1"/>
  <c r="G585" i="3" s="1"/>
  <c r="K585" i="3" s="1"/>
  <c r="V585" i="2"/>
  <c r="T564" i="2"/>
  <c r="T548" i="2"/>
  <c r="V546" i="2"/>
  <c r="T304" i="2"/>
  <c r="V92" i="2"/>
  <c r="J36" i="2"/>
  <c r="H36" i="2" s="1"/>
  <c r="G36" i="3" s="1"/>
  <c r="K36" i="3" s="1"/>
  <c r="T354" i="2"/>
  <c r="T473" i="2"/>
  <c r="V312" i="2"/>
  <c r="J499" i="2"/>
  <c r="H499" i="2" s="1"/>
  <c r="G499" i="3" s="1"/>
  <c r="K499" i="3" s="1"/>
  <c r="V740" i="2"/>
  <c r="J740" i="2"/>
  <c r="H740" i="2" s="1"/>
  <c r="G740" i="3" s="1"/>
  <c r="K740" i="3" s="1"/>
  <c r="V636" i="2"/>
  <c r="J636" i="2"/>
  <c r="H636" i="2" s="1"/>
  <c r="G636" i="3" s="1"/>
  <c r="K636" i="3" s="1"/>
  <c r="J137" i="2"/>
  <c r="H137" i="2" s="1"/>
  <c r="G137" i="3" s="1"/>
  <c r="K137" i="3" s="1"/>
  <c r="V270" i="2"/>
  <c r="J270" i="2"/>
  <c r="H270" i="2" s="1"/>
  <c r="G270" i="3" s="1"/>
  <c r="K270" i="3" s="1"/>
  <c r="J674" i="2"/>
  <c r="H674" i="2" s="1"/>
  <c r="G674" i="3" s="1"/>
  <c r="K674" i="3" s="1"/>
  <c r="J387" i="2"/>
  <c r="H387" i="2" s="1"/>
  <c r="G387" i="3" s="1"/>
  <c r="K387" i="3" s="1"/>
  <c r="J432" i="2"/>
  <c r="H432" i="2" s="1"/>
  <c r="G432" i="3" s="1"/>
  <c r="K432" i="3" s="1"/>
  <c r="V575" i="2"/>
  <c r="J575" i="2"/>
  <c r="H575" i="2" s="1"/>
  <c r="G575" i="3" s="1"/>
  <c r="K575" i="3" s="1"/>
  <c r="V276" i="2"/>
  <c r="V74" i="2"/>
  <c r="J74" i="2"/>
  <c r="H74" i="2" s="1"/>
  <c r="V769" i="2"/>
  <c r="J769" i="2"/>
  <c r="H769" i="2" s="1"/>
  <c r="G769" i="3" s="1"/>
  <c r="K769" i="3" s="1"/>
  <c r="V32" i="2"/>
  <c r="J32" i="2"/>
  <c r="H32" i="2" s="1"/>
  <c r="G32" i="3" s="1"/>
  <c r="K32" i="3" s="1"/>
  <c r="V95" i="2"/>
  <c r="J95" i="2"/>
  <c r="H95" i="2" s="1"/>
  <c r="G95" i="3" s="1"/>
  <c r="K95" i="3" s="1"/>
  <c r="V217" i="2"/>
  <c r="V651" i="2"/>
  <c r="V174" i="2"/>
  <c r="J174" i="2"/>
  <c r="H174" i="2" s="1"/>
  <c r="G174" i="3" s="1"/>
  <c r="K174" i="3" s="1"/>
  <c r="J343" i="2"/>
  <c r="H343" i="2" s="1"/>
  <c r="Q341" i="2"/>
  <c r="J516" i="2"/>
  <c r="H516" i="2" s="1"/>
  <c r="G516" i="3" s="1"/>
  <c r="K516" i="3" s="1"/>
  <c r="V516" i="2"/>
  <c r="J379" i="2"/>
  <c r="H379" i="2" s="1"/>
  <c r="G379" i="3" s="1"/>
  <c r="K379" i="3" s="1"/>
  <c r="V202" i="2"/>
  <c r="J511" i="2"/>
  <c r="H511" i="2" s="1"/>
  <c r="G511" i="3" s="1"/>
  <c r="K511" i="3" s="1"/>
  <c r="J768" i="2"/>
  <c r="H768" i="2" s="1"/>
  <c r="G768" i="3" s="1"/>
  <c r="K768" i="3" s="1"/>
  <c r="V321" i="2"/>
  <c r="J321" i="2"/>
  <c r="H321" i="2" s="1"/>
  <c r="G321" i="3" s="1"/>
  <c r="K321" i="3" s="1"/>
  <c r="J493" i="2"/>
  <c r="H493" i="2" s="1"/>
  <c r="G493" i="3" s="1"/>
  <c r="K493" i="3" s="1"/>
  <c r="V766" i="2"/>
  <c r="J766" i="2"/>
  <c r="H766" i="2" s="1"/>
  <c r="G766" i="3" s="1"/>
  <c r="K766" i="3" s="1"/>
  <c r="J713" i="2"/>
  <c r="H713" i="2" s="1"/>
  <c r="G713" i="3" s="1"/>
  <c r="K713" i="3" s="1"/>
  <c r="V713" i="2"/>
  <c r="T90" i="2"/>
  <c r="T530" i="2"/>
  <c r="V744" i="2"/>
  <c r="V515" i="2"/>
  <c r="T72" i="2"/>
  <c r="J666" i="2"/>
  <c r="H666" i="2" s="1"/>
  <c r="G666" i="3" s="1"/>
  <c r="K666" i="3" s="1"/>
  <c r="J199" i="2"/>
  <c r="H199" i="2" s="1"/>
  <c r="G199" i="3" s="1"/>
  <c r="K199" i="3" s="1"/>
  <c r="V458" i="2"/>
  <c r="J690" i="2"/>
  <c r="H690" i="2" s="1"/>
  <c r="G690" i="3" s="1"/>
  <c r="K690" i="3" s="1"/>
  <c r="V188" i="2"/>
  <c r="V599" i="2"/>
  <c r="J17" i="2"/>
  <c r="H17" i="2" s="1"/>
  <c r="G17" i="3" s="1"/>
  <c r="J344" i="2"/>
  <c r="H344" i="2" s="1"/>
  <c r="G344" i="3" s="1"/>
  <c r="K344" i="3" s="1"/>
  <c r="J664" i="2"/>
  <c r="H664" i="2" s="1"/>
  <c r="G664" i="3" s="1"/>
  <c r="V357" i="2"/>
  <c r="J480" i="2"/>
  <c r="H480" i="2" s="1"/>
  <c r="G480" i="3" s="1"/>
  <c r="K480" i="3" s="1"/>
  <c r="V38" i="2"/>
  <c r="J372" i="2"/>
  <c r="H372" i="2" s="1"/>
  <c r="G372" i="3" s="1"/>
  <c r="K372" i="3" s="1"/>
  <c r="V372" i="2"/>
  <c r="V465" i="2"/>
  <c r="V414" i="2"/>
  <c r="V669" i="2"/>
  <c r="V717" i="2"/>
  <c r="V484" i="2"/>
  <c r="J685" i="2"/>
  <c r="H685" i="2" s="1"/>
  <c r="G685" i="3" s="1"/>
  <c r="K685" i="3" s="1"/>
  <c r="V40" i="2"/>
  <c r="J40" i="2"/>
  <c r="H40" i="2" s="1"/>
  <c r="G40" i="3" s="1"/>
  <c r="K40" i="3" s="1"/>
  <c r="T397" i="2"/>
  <c r="Q43" i="2"/>
  <c r="V399" i="2"/>
  <c r="J362" i="2"/>
  <c r="H362" i="2" s="1"/>
  <c r="G362" i="3" s="1"/>
  <c r="K362" i="3" s="1"/>
  <c r="T513" i="2"/>
  <c r="J617" i="2"/>
  <c r="H617" i="2" s="1"/>
  <c r="G617" i="3" s="1"/>
  <c r="K617" i="3" s="1"/>
  <c r="J205" i="2"/>
  <c r="H205" i="2" s="1"/>
  <c r="G205" i="3" s="1"/>
  <c r="K205" i="3" s="1"/>
  <c r="V551" i="2"/>
  <c r="V258" i="2"/>
  <c r="V162" i="2"/>
  <c r="J250" i="2"/>
  <c r="H250" i="2" s="1"/>
  <c r="G250" i="3" s="1"/>
  <c r="K250" i="3" s="1"/>
  <c r="Q317" i="2"/>
  <c r="V65" i="2"/>
  <c r="J552" i="2"/>
  <c r="H552" i="2" s="1"/>
  <c r="G552" i="3" s="1"/>
  <c r="K552" i="3" s="1"/>
  <c r="J232" i="2"/>
  <c r="H232" i="2" s="1"/>
  <c r="G232" i="3" s="1"/>
  <c r="K232" i="3" s="1"/>
  <c r="V481" i="2"/>
  <c r="J496" i="2"/>
  <c r="H496" i="2" s="1"/>
  <c r="G496" i="3" s="1"/>
  <c r="K496" i="3" s="1"/>
  <c r="V96" i="2"/>
  <c r="J96" i="2"/>
  <c r="H96" i="2" s="1"/>
  <c r="G96" i="3" s="1"/>
  <c r="K96" i="3" s="1"/>
  <c r="J363" i="2"/>
  <c r="H363" i="2" s="1"/>
  <c r="G363" i="3" s="1"/>
  <c r="K363" i="3" s="1"/>
  <c r="V572" i="2"/>
  <c r="J130" i="2"/>
  <c r="H130" i="2" s="1"/>
  <c r="G130" i="3" s="1"/>
  <c r="K130" i="3" s="1"/>
  <c r="J735" i="2"/>
  <c r="H735" i="2" s="1"/>
  <c r="G735" i="3" s="1"/>
  <c r="K735" i="3" s="1"/>
  <c r="V443" i="2"/>
  <c r="V773" i="2"/>
  <c r="J170" i="2"/>
  <c r="H170" i="2" s="1"/>
  <c r="G170" i="3" s="1"/>
  <c r="K170" i="3" s="1"/>
  <c r="J108" i="2"/>
  <c r="H108" i="2" s="1"/>
  <c r="G108" i="3" s="1"/>
  <c r="K108" i="3" s="1"/>
  <c r="V108" i="2"/>
  <c r="V139" i="2"/>
  <c r="J291" i="2"/>
  <c r="H291" i="2" s="1"/>
  <c r="G291" i="3" s="1"/>
  <c r="K291" i="3" s="1"/>
  <c r="J486" i="2"/>
  <c r="H486" i="2" s="1"/>
  <c r="G486" i="3" s="1"/>
  <c r="K486" i="3" s="1"/>
  <c r="V113" i="2"/>
  <c r="J358" i="2"/>
  <c r="H358" i="2" s="1"/>
  <c r="G358" i="3" s="1"/>
  <c r="K358" i="3" s="1"/>
  <c r="V435" i="2"/>
  <c r="J18" i="2"/>
  <c r="H18" i="2" s="1"/>
  <c r="G18" i="3" s="1"/>
  <c r="K18" i="3" s="1"/>
  <c r="J198" i="2"/>
  <c r="H198" i="2" s="1"/>
  <c r="G198" i="3" s="1"/>
  <c r="K198" i="3" s="1"/>
  <c r="J350" i="2"/>
  <c r="H350" i="2" s="1"/>
  <c r="G350" i="3" s="1"/>
  <c r="K350" i="3" s="1"/>
  <c r="J682" i="2"/>
  <c r="H682" i="2" s="1"/>
  <c r="G682" i="3" s="1"/>
  <c r="J671" i="2"/>
  <c r="H671" i="2" s="1"/>
  <c r="G671" i="3" s="1"/>
  <c r="K671" i="3" s="1"/>
  <c r="V173" i="2"/>
  <c r="J173" i="2"/>
  <c r="H173" i="2" s="1"/>
  <c r="G173" i="3" s="1"/>
  <c r="K173" i="3" s="1"/>
  <c r="J356" i="2"/>
  <c r="H356" i="2" s="1"/>
  <c r="V236" i="2"/>
  <c r="J236" i="2"/>
  <c r="H236" i="2" s="1"/>
  <c r="G236" i="3" s="1"/>
  <c r="K236" i="3" s="1"/>
  <c r="J412" i="2"/>
  <c r="H412" i="2" s="1"/>
  <c r="G412" i="3" s="1"/>
  <c r="K412" i="3" s="1"/>
  <c r="V697" i="2"/>
  <c r="J140" i="2"/>
  <c r="H140" i="2" s="1"/>
  <c r="G140" i="3" s="1"/>
  <c r="K140" i="3" s="1"/>
  <c r="V411" i="2"/>
  <c r="J494" i="2"/>
  <c r="H494" i="2" s="1"/>
  <c r="G494" i="3" s="1"/>
  <c r="K494" i="3" s="1"/>
  <c r="V764" i="2"/>
  <c r="V476" i="2"/>
  <c r="V83" i="2"/>
  <c r="V146" i="2"/>
  <c r="V743" i="2"/>
  <c r="V381" i="2"/>
  <c r="V210" i="2"/>
  <c r="V309" i="2"/>
  <c r="V99" i="2"/>
  <c r="J99" i="2"/>
  <c r="H99" i="2" s="1"/>
  <c r="G99" i="3" s="1"/>
  <c r="K99" i="3" s="1"/>
  <c r="J211" i="2"/>
  <c r="H211" i="2" s="1"/>
  <c r="G211" i="3" s="1"/>
  <c r="K211" i="3" s="1"/>
  <c r="V211" i="2"/>
  <c r="V384" i="2"/>
  <c r="M129" i="3"/>
  <c r="M277" i="3"/>
  <c r="T421" i="2"/>
  <c r="V356" i="2"/>
  <c r="T719" i="2"/>
  <c r="V447" i="2"/>
  <c r="J490" i="2"/>
  <c r="H490" i="2" s="1"/>
  <c r="G490" i="3" s="1"/>
  <c r="K490" i="3" s="1"/>
  <c r="J747" i="2"/>
  <c r="H747" i="2" s="1"/>
  <c r="G747" i="3" s="1"/>
  <c r="K747" i="3" s="1"/>
  <c r="J572" i="2"/>
  <c r="H572" i="2" s="1"/>
  <c r="G572" i="3" s="1"/>
  <c r="K572" i="3" s="1"/>
  <c r="V153" i="2"/>
  <c r="V523" i="2"/>
  <c r="J628" i="2"/>
  <c r="H628" i="2" s="1"/>
  <c r="G628" i="3" s="1"/>
  <c r="K628" i="3" s="1"/>
  <c r="V736" i="2"/>
  <c r="V574" i="2"/>
  <c r="V539" i="2"/>
  <c r="V260" i="2"/>
  <c r="V131" i="2"/>
  <c r="J579" i="2"/>
  <c r="H579" i="2" s="1"/>
  <c r="G579" i="3" s="1"/>
  <c r="K579" i="3" s="1"/>
  <c r="J230" i="2"/>
  <c r="H230" i="2" s="1"/>
  <c r="G230" i="3" s="1"/>
  <c r="K230" i="3" s="1"/>
  <c r="V111" i="2"/>
  <c r="V35" i="2"/>
  <c r="V753" i="2"/>
  <c r="J595" i="2"/>
  <c r="H595" i="2" s="1"/>
  <c r="G595" i="3" s="1"/>
  <c r="K595" i="3" s="1"/>
  <c r="V595" i="2"/>
  <c r="V702" i="2"/>
  <c r="J702" i="2"/>
  <c r="H702" i="2" s="1"/>
  <c r="G702" i="3" s="1"/>
  <c r="K702" i="3" s="1"/>
  <c r="T267" i="2"/>
  <c r="V504" i="2"/>
  <c r="T164" i="2"/>
  <c r="T502" i="2"/>
  <c r="V632" i="2"/>
  <c r="J58" i="2"/>
  <c r="H58" i="2" s="1"/>
  <c r="G58" i="3" s="1"/>
  <c r="K58" i="3" s="1"/>
  <c r="V559" i="2"/>
  <c r="J559" i="2"/>
  <c r="H559" i="2" s="1"/>
  <c r="G559" i="3" s="1"/>
  <c r="K559" i="3" s="1"/>
  <c r="J587" i="2"/>
  <c r="H587" i="2" s="1"/>
  <c r="G587" i="3" s="1"/>
  <c r="K587" i="3" s="1"/>
  <c r="V239" i="2"/>
  <c r="V608" i="2"/>
  <c r="V69" i="2"/>
  <c r="J581" i="2"/>
  <c r="H581" i="2" s="1"/>
  <c r="G581" i="3" s="1"/>
  <c r="K581" i="3" s="1"/>
  <c r="V272" i="2"/>
  <c r="V373" i="2"/>
  <c r="J373" i="2"/>
  <c r="H373" i="2" s="1"/>
  <c r="G373" i="3" s="1"/>
  <c r="K373" i="3" s="1"/>
  <c r="T630" i="2"/>
  <c r="V535" i="2"/>
  <c r="J238" i="2"/>
  <c r="H238" i="2" s="1"/>
  <c r="G238" i="3" s="1"/>
  <c r="K238" i="3" s="1"/>
  <c r="T115" i="2"/>
  <c r="T317" i="2"/>
  <c r="V154" i="2"/>
  <c r="J154" i="2"/>
  <c r="H154" i="2" s="1"/>
  <c r="G154" i="3" s="1"/>
  <c r="K154" i="3" s="1"/>
  <c r="V383" i="2"/>
  <c r="J383" i="2"/>
  <c r="H383" i="2" s="1"/>
  <c r="G383" i="3" s="1"/>
  <c r="K383" i="3" s="1"/>
  <c r="T15" i="2"/>
  <c r="V226" i="2"/>
  <c r="J235" i="2"/>
  <c r="H235" i="2" s="1"/>
  <c r="G235" i="3" s="1"/>
  <c r="K235" i="3" s="1"/>
  <c r="J576" i="2"/>
  <c r="H576" i="2" s="1"/>
  <c r="G576" i="3" s="1"/>
  <c r="K576" i="3" s="1"/>
  <c r="V593" i="2"/>
  <c r="V286" i="2"/>
  <c r="J724" i="2"/>
  <c r="H724" i="2" s="1"/>
  <c r="G724" i="3" s="1"/>
  <c r="K724" i="3" s="1"/>
  <c r="V541" i="2"/>
  <c r="J22" i="2"/>
  <c r="H22" i="2" s="1"/>
  <c r="G22" i="3" s="1"/>
  <c r="K22" i="3" s="1"/>
  <c r="V433" i="2"/>
  <c r="V311" i="2"/>
  <c r="J668" i="2"/>
  <c r="H668" i="2" s="1"/>
  <c r="G668" i="3" s="1"/>
  <c r="K668" i="3" s="1"/>
  <c r="V596" i="2"/>
  <c r="V132" i="2"/>
  <c r="V300" i="2"/>
  <c r="J737" i="2"/>
  <c r="H737" i="2" s="1"/>
  <c r="G737" i="3" s="1"/>
  <c r="K737" i="3" s="1"/>
  <c r="V273" i="2"/>
  <c r="J319" i="2"/>
  <c r="H319" i="2" s="1"/>
  <c r="V591" i="2"/>
  <c r="V650" i="2"/>
  <c r="J253" i="2"/>
  <c r="H253" i="2" s="1"/>
  <c r="G253" i="3" s="1"/>
  <c r="K253" i="3" s="1"/>
  <c r="J181" i="2"/>
  <c r="H181" i="2" s="1"/>
  <c r="G181" i="3" s="1"/>
  <c r="K181" i="3" s="1"/>
  <c r="J471" i="2"/>
  <c r="H471" i="2" s="1"/>
  <c r="G471" i="3" s="1"/>
  <c r="K471" i="3" s="1"/>
  <c r="V694" i="2"/>
  <c r="J694" i="2"/>
  <c r="H694" i="2" s="1"/>
  <c r="G694" i="3" s="1"/>
  <c r="K694" i="3" s="1"/>
  <c r="V771" i="2"/>
  <c r="J771" i="2"/>
  <c r="H771" i="2" s="1"/>
  <c r="G771" i="3" s="1"/>
  <c r="K771" i="3" s="1"/>
  <c r="V323" i="2"/>
  <c r="J551" i="2"/>
  <c r="H551" i="2" s="1"/>
  <c r="G551" i="3" s="1"/>
  <c r="K551" i="3" s="1"/>
  <c r="M741" i="3"/>
  <c r="V86" i="2"/>
  <c r="J314" i="2"/>
  <c r="H314" i="2" s="1"/>
  <c r="G314" i="3" s="1"/>
  <c r="K314" i="3" s="1"/>
  <c r="J605" i="2"/>
  <c r="H605" i="2" s="1"/>
  <c r="G605" i="3" s="1"/>
  <c r="K605" i="3" s="1"/>
  <c r="V348" i="2"/>
  <c r="J665" i="2"/>
  <c r="H665" i="2" s="1"/>
  <c r="G665" i="3" s="1"/>
  <c r="K665" i="3" s="1"/>
  <c r="V393" i="2"/>
  <c r="J369" i="2"/>
  <c r="H369" i="2" s="1"/>
  <c r="G369" i="3" s="1"/>
  <c r="K369" i="3" s="1"/>
  <c r="J428" i="2"/>
  <c r="H428" i="2" s="1"/>
  <c r="G428" i="3" s="1"/>
  <c r="K428" i="3" s="1"/>
  <c r="V749" i="2"/>
  <c r="J660" i="2"/>
  <c r="H660" i="2" s="1"/>
  <c r="G660" i="3" s="1"/>
  <c r="K660" i="3" s="1"/>
  <c r="V498" i="2"/>
  <c r="M258" i="3"/>
  <c r="Q267" i="2"/>
  <c r="V28" i="2"/>
  <c r="V149" i="2"/>
  <c r="V215" i="2"/>
  <c r="J418" i="2"/>
  <c r="H418" i="2" s="1"/>
  <c r="G418" i="3" s="1"/>
  <c r="K418" i="3" s="1"/>
  <c r="J139" i="2"/>
  <c r="H139" i="2" s="1"/>
  <c r="G139" i="3" s="1"/>
  <c r="K139" i="3" s="1"/>
  <c r="J561" i="2"/>
  <c r="H561" i="2" s="1"/>
  <c r="G561" i="3" s="1"/>
  <c r="K561" i="3" s="1"/>
  <c r="J160" i="2"/>
  <c r="H160" i="2" s="1"/>
  <c r="G160" i="3" s="1"/>
  <c r="K160" i="3" s="1"/>
  <c r="J20" i="2"/>
  <c r="H20" i="2" s="1"/>
  <c r="G20" i="3" s="1"/>
  <c r="K20" i="3" s="1"/>
  <c r="V21" i="2"/>
  <c r="J591" i="2"/>
  <c r="H591" i="2" s="1"/>
  <c r="G591" i="3" s="1"/>
  <c r="V413" i="2"/>
  <c r="J437" i="2"/>
  <c r="H437" i="2" s="1"/>
  <c r="G437" i="3" s="1"/>
  <c r="K437" i="3" s="1"/>
  <c r="V388" i="2"/>
  <c r="J741" i="2"/>
  <c r="H741" i="2" s="1"/>
  <c r="G741" i="3" s="1"/>
  <c r="K741" i="3" s="1"/>
  <c r="Q90" i="2"/>
  <c r="V532" i="2"/>
  <c r="J186" i="2"/>
  <c r="H186" i="2" s="1"/>
  <c r="G186" i="3" s="1"/>
  <c r="K186" i="3" s="1"/>
  <c r="J424" i="2"/>
  <c r="H424" i="2" s="1"/>
  <c r="G424" i="3" s="1"/>
  <c r="K424" i="3" s="1"/>
  <c r="V426" i="2"/>
  <c r="J426" i="2"/>
  <c r="H426" i="2" s="1"/>
  <c r="G426" i="3" s="1"/>
  <c r="K426" i="3" s="1"/>
  <c r="J408" i="2"/>
  <c r="H408" i="2" s="1"/>
  <c r="G408" i="3" s="1"/>
  <c r="K408" i="3" s="1"/>
  <c r="V94" i="2"/>
  <c r="V197" i="2"/>
  <c r="V528" i="2"/>
  <c r="V436" i="2"/>
  <c r="V284" i="2"/>
  <c r="V26" i="2"/>
  <c r="Q24" i="2"/>
  <c r="V274" i="2"/>
  <c r="V313" i="2"/>
  <c r="J452" i="2"/>
  <c r="H452" i="2" s="1"/>
  <c r="J616" i="2"/>
  <c r="H616" i="2" s="1"/>
  <c r="G616" i="3" s="1"/>
  <c r="K616" i="3" s="1"/>
  <c r="V748" i="2"/>
  <c r="V524" i="2"/>
  <c r="J527" i="2"/>
  <c r="H527" i="2" s="1"/>
  <c r="G527" i="3" s="1"/>
  <c r="K527" i="3" s="1"/>
  <c r="V229" i="2"/>
  <c r="V642" i="2"/>
  <c r="J642" i="2"/>
  <c r="H642" i="2" s="1"/>
  <c r="G642" i="3" s="1"/>
  <c r="K642" i="3" s="1"/>
  <c r="V467" i="2"/>
  <c r="J647" i="2"/>
  <c r="H647" i="2" s="1"/>
  <c r="G647" i="3" s="1"/>
  <c r="K647" i="3" s="1"/>
  <c r="V57" i="2"/>
  <c r="V339" i="2"/>
  <c r="J234" i="2"/>
  <c r="H234" i="2" s="1"/>
  <c r="G234" i="3" s="1"/>
  <c r="K234" i="3" s="1"/>
  <c r="V457" i="2"/>
  <c r="J410" i="2"/>
  <c r="H410" i="2" s="1"/>
  <c r="G410" i="3" s="1"/>
  <c r="K410" i="3" s="1"/>
  <c r="V683" i="2"/>
  <c r="V695" i="2"/>
  <c r="V117" i="2"/>
  <c r="J117" i="2"/>
  <c r="H117" i="2" s="1"/>
  <c r="J403" i="2"/>
  <c r="H403" i="2" s="1"/>
  <c r="G403" i="3" s="1"/>
  <c r="K403" i="3" s="1"/>
  <c r="J582" i="2"/>
  <c r="H582" i="2" s="1"/>
  <c r="G582" i="3" s="1"/>
  <c r="K582" i="3" s="1"/>
  <c r="V138" i="2"/>
  <c r="J138" i="2"/>
  <c r="H138" i="2" s="1"/>
  <c r="G138" i="3" s="1"/>
  <c r="K138" i="3" s="1"/>
  <c r="V110" i="2"/>
  <c r="J110" i="2"/>
  <c r="H110" i="2" s="1"/>
  <c r="G110" i="3" s="1"/>
  <c r="K110" i="3" s="1"/>
  <c r="R10" i="3" s="1"/>
  <c r="J453" i="2"/>
  <c r="H453" i="2" s="1"/>
  <c r="G453" i="3" s="1"/>
  <c r="K453" i="3" s="1"/>
  <c r="J448" i="2"/>
  <c r="H448" i="2" s="1"/>
  <c r="G448" i="3" s="1"/>
  <c r="K448" i="3" s="1"/>
  <c r="V754" i="2"/>
  <c r="T760" i="2"/>
  <c r="V320" i="2"/>
  <c r="J327" i="2"/>
  <c r="H327" i="2" s="1"/>
  <c r="G327" i="3" s="1"/>
  <c r="K327" i="3" s="1"/>
  <c r="T190" i="2"/>
  <c r="V49" i="2"/>
  <c r="V416" i="2"/>
  <c r="J93" i="2"/>
  <c r="H93" i="2" s="1"/>
  <c r="G93" i="3" s="1"/>
  <c r="K93" i="3" s="1"/>
  <c r="J339" i="2"/>
  <c r="H339" i="2" s="1"/>
  <c r="G339" i="3" s="1"/>
  <c r="K339" i="3" s="1"/>
  <c r="V219" i="2"/>
  <c r="V122" i="2"/>
  <c r="V259" i="2"/>
  <c r="V195" i="2"/>
  <c r="J598" i="2"/>
  <c r="H598" i="2" s="1"/>
  <c r="G598" i="3" s="1"/>
  <c r="K598" i="3" s="1"/>
  <c r="V283" i="2"/>
  <c r="J670" i="2"/>
  <c r="H670" i="2" s="1"/>
  <c r="G670" i="3" s="1"/>
  <c r="K670" i="3" s="1"/>
  <c r="J106" i="2"/>
  <c r="H106" i="2" s="1"/>
  <c r="G106" i="3" s="1"/>
  <c r="K106" i="3" s="1"/>
  <c r="V731" i="2"/>
  <c r="V333" i="2"/>
  <c r="J542" i="2"/>
  <c r="H542" i="2" s="1"/>
  <c r="G542" i="3" s="1"/>
  <c r="K542" i="3" s="1"/>
  <c r="V179" i="2"/>
  <c r="J687" i="2"/>
  <c r="H687" i="2" s="1"/>
  <c r="G687" i="3" s="1"/>
  <c r="K687" i="3" s="1"/>
  <c r="J466" i="2"/>
  <c r="H466" i="2" s="1"/>
  <c r="G466" i="3" s="1"/>
  <c r="K466" i="3" s="1"/>
  <c r="V129" i="2"/>
  <c r="J218" i="2"/>
  <c r="H218" i="2" s="1"/>
  <c r="G218" i="3" s="1"/>
  <c r="K218" i="3" s="1"/>
  <c r="V200" i="2"/>
  <c r="J557" i="2"/>
  <c r="H557" i="2" s="1"/>
  <c r="G557" i="3" s="1"/>
  <c r="K557" i="3" s="1"/>
  <c r="J142" i="2"/>
  <c r="H142" i="2" s="1"/>
  <c r="G142" i="3" s="1"/>
  <c r="K142" i="3" s="1"/>
  <c r="V245" i="2"/>
  <c r="J141" i="2"/>
  <c r="H141" i="2" s="1"/>
  <c r="G141" i="3" s="1"/>
  <c r="K141" i="3" s="1"/>
  <c r="V536" i="2"/>
  <c r="J488" i="2"/>
  <c r="H488" i="2" s="1"/>
  <c r="G488" i="3" s="1"/>
  <c r="K488" i="3" s="1"/>
  <c r="J102" i="2"/>
  <c r="H102" i="2" s="1"/>
  <c r="G102" i="3" s="1"/>
  <c r="K102" i="3" s="1"/>
  <c r="V734" i="2"/>
  <c r="V34" i="2"/>
  <c r="J508" i="2"/>
  <c r="H508" i="2" s="1"/>
  <c r="G508" i="3" s="1"/>
  <c r="K508" i="3" s="1"/>
  <c r="J391" i="2"/>
  <c r="H391" i="2" s="1"/>
  <c r="G391" i="3" s="1"/>
  <c r="K391" i="3" s="1"/>
  <c r="V726" i="2"/>
  <c r="Q548" i="2"/>
  <c r="Q15" i="2"/>
  <c r="V639" i="2"/>
  <c r="V247" i="2"/>
  <c r="V212" i="2"/>
  <c r="J524" i="2"/>
  <c r="H524" i="2" s="1"/>
  <c r="G524" i="3" s="1"/>
  <c r="K524" i="3" s="1"/>
  <c r="V620" i="2"/>
  <c r="V319" i="2"/>
  <c r="J526" i="2"/>
  <c r="H526" i="2" s="1"/>
  <c r="G526" i="3" s="1"/>
  <c r="K526" i="3" s="1"/>
  <c r="J79" i="2"/>
  <c r="H79" i="2" s="1"/>
  <c r="G79" i="3" s="1"/>
  <c r="K79" i="3" s="1"/>
  <c r="V410" i="2"/>
  <c r="V367" i="2"/>
  <c r="V296" i="2"/>
  <c r="J723" i="2"/>
  <c r="H723" i="2" s="1"/>
  <c r="G723" i="3" s="1"/>
  <c r="K723" i="3" s="1"/>
  <c r="J282" i="2"/>
  <c r="H282" i="2" s="1"/>
  <c r="G282" i="3" s="1"/>
  <c r="K282" i="3" s="1"/>
  <c r="V185" i="2"/>
  <c r="Q329" i="2"/>
  <c r="J313" i="2"/>
  <c r="H313" i="2" s="1"/>
  <c r="G313" i="3" s="1"/>
  <c r="K313" i="3" s="1"/>
  <c r="J532" i="2"/>
  <c r="H532" i="2" s="1"/>
  <c r="J457" i="2"/>
  <c r="H457" i="2" s="1"/>
  <c r="G457" i="3" s="1"/>
  <c r="K457" i="3" s="1"/>
  <c r="J371" i="2"/>
  <c r="H371" i="2" s="1"/>
  <c r="G371" i="3" s="1"/>
  <c r="K371" i="3" s="1"/>
  <c r="J77" i="2"/>
  <c r="H77" i="2" s="1"/>
  <c r="G77" i="3" s="1"/>
  <c r="K77" i="3" s="1"/>
  <c r="J197" i="2"/>
  <c r="H197" i="2" s="1"/>
  <c r="G197" i="3" s="1"/>
  <c r="K197" i="3" s="1"/>
  <c r="J39" i="2"/>
  <c r="H39" i="2" s="1"/>
  <c r="G39" i="3" s="1"/>
  <c r="K39" i="3" s="1"/>
  <c r="J156" i="2"/>
  <c r="H156" i="2" s="1"/>
  <c r="G156" i="3" s="1"/>
  <c r="K156" i="3" s="1"/>
  <c r="Q63" i="2"/>
  <c r="J26" i="2"/>
  <c r="H26" i="2" s="1"/>
  <c r="J607" i="2"/>
  <c r="H607" i="2" s="1"/>
  <c r="G607" i="3" s="1"/>
  <c r="K607" i="3" s="1"/>
  <c r="J748" i="2"/>
  <c r="H748" i="2" s="1"/>
  <c r="G748" i="3" s="1"/>
  <c r="K748" i="3" s="1"/>
  <c r="V668" i="2"/>
  <c r="V93" i="2"/>
  <c r="V78" i="2"/>
  <c r="M217" i="3"/>
  <c r="J300" i="2"/>
  <c r="H300" i="2" s="1"/>
  <c r="G300" i="3" s="1"/>
  <c r="K300" i="3" s="1"/>
  <c r="V248" i="2"/>
  <c r="J700" i="2"/>
  <c r="H700" i="2" s="1"/>
  <c r="G700" i="3" s="1"/>
  <c r="K700" i="3" s="1"/>
  <c r="V471" i="2"/>
  <c r="V544" i="2"/>
  <c r="J678" i="2"/>
  <c r="H678" i="2" s="1"/>
  <c r="G678" i="3" s="1"/>
  <c r="K678" i="3" s="1"/>
  <c r="J322" i="2"/>
  <c r="H322" i="2" s="1"/>
  <c r="G322" i="3" s="1"/>
  <c r="K322" i="3" s="1"/>
  <c r="J213" i="2"/>
  <c r="H213" i="2" s="1"/>
  <c r="G213" i="3" s="1"/>
  <c r="K213" i="3" s="1"/>
  <c r="J60" i="2"/>
  <c r="H60" i="2" s="1"/>
  <c r="G60" i="3" s="1"/>
  <c r="K60" i="3" s="1"/>
  <c r="V345" i="2"/>
  <c r="J433" i="2"/>
  <c r="H433" i="2" s="1"/>
  <c r="G433" i="3" s="1"/>
  <c r="K433" i="3" s="1"/>
  <c r="V741" i="2"/>
  <c r="V510" i="2"/>
  <c r="J711" i="2"/>
  <c r="H711" i="2" s="1"/>
  <c r="G711" i="3" s="1"/>
  <c r="K711" i="3" s="1"/>
  <c r="J467" i="2"/>
  <c r="H467" i="2" s="1"/>
  <c r="G467" i="3" s="1"/>
  <c r="K467" i="3" s="1"/>
  <c r="J541" i="2"/>
  <c r="H541" i="2" s="1"/>
  <c r="G541" i="3" s="1"/>
  <c r="K541" i="3" s="1"/>
  <c r="J284" i="2"/>
  <c r="H284" i="2" s="1"/>
  <c r="G284" i="3" s="1"/>
  <c r="K284" i="3" s="1"/>
  <c r="V234" i="2"/>
  <c r="V344" i="2"/>
  <c r="J294" i="2"/>
  <c r="H294" i="2" s="1"/>
  <c r="G294" i="3" s="1"/>
  <c r="K294" i="3" s="1"/>
  <c r="J465" i="2"/>
  <c r="H465" i="2" s="1"/>
  <c r="G465" i="3" s="1"/>
  <c r="K465" i="3" s="1"/>
  <c r="J274" i="2"/>
  <c r="H274" i="2" s="1"/>
  <c r="G274" i="3" s="1"/>
  <c r="K274" i="3" s="1"/>
  <c r="V209" i="2"/>
  <c r="V485" i="2"/>
  <c r="J414" i="2"/>
  <c r="H414" i="2" s="1"/>
  <c r="G414" i="3" s="1"/>
  <c r="K414" i="3" s="1"/>
  <c r="V22" i="2"/>
  <c r="J352" i="2"/>
  <c r="H352" i="2" s="1"/>
  <c r="G352" i="3" s="1"/>
  <c r="K352" i="3" s="1"/>
  <c r="J201" i="2"/>
  <c r="H201" i="2" s="1"/>
  <c r="G201" i="3" s="1"/>
  <c r="K201" i="3" s="1"/>
  <c r="J273" i="2"/>
  <c r="H273" i="2" s="1"/>
  <c r="G273" i="3" s="1"/>
  <c r="K273" i="3" s="1"/>
  <c r="Q610" i="2"/>
  <c r="Q564" i="2"/>
  <c r="V216" i="2"/>
  <c r="J746" i="2"/>
  <c r="H746" i="2" s="1"/>
  <c r="G746" i="3" s="1"/>
  <c r="K746" i="3" s="1"/>
  <c r="Q662" i="2"/>
  <c r="J265" i="2"/>
  <c r="H265" i="2" s="1"/>
  <c r="G265" i="3" s="1"/>
  <c r="K265" i="3" s="1"/>
  <c r="V555" i="2"/>
  <c r="J596" i="2"/>
  <c r="H596" i="2" s="1"/>
  <c r="G596" i="3" s="1"/>
  <c r="K596" i="3" s="1"/>
  <c r="J613" i="2"/>
  <c r="H613" i="2" s="1"/>
  <c r="G613" i="3" s="1"/>
  <c r="K613" i="3" s="1"/>
  <c r="M50" i="3"/>
  <c r="V280" i="2"/>
  <c r="J308" i="2"/>
  <c r="H308" i="2" s="1"/>
  <c r="G308" i="3" s="1"/>
  <c r="K308" i="3" s="1"/>
  <c r="V525" i="2"/>
  <c r="J566" i="2"/>
  <c r="H566" i="2" s="1"/>
  <c r="G566" i="3" s="1"/>
  <c r="J183" i="2"/>
  <c r="H183" i="2" s="1"/>
  <c r="G183" i="3" s="1"/>
  <c r="K183" i="3" s="1"/>
  <c r="J407" i="2"/>
  <c r="H407" i="2" s="1"/>
  <c r="G407" i="3" s="1"/>
  <c r="K407" i="3" s="1"/>
  <c r="J167" i="2"/>
  <c r="H167" i="2" s="1"/>
  <c r="G167" i="3" s="1"/>
  <c r="K167" i="3" s="1"/>
  <c r="J297" i="2"/>
  <c r="H297" i="2" s="1"/>
  <c r="G297" i="3" s="1"/>
  <c r="K297" i="3" s="1"/>
  <c r="V675" i="2"/>
  <c r="J650" i="2"/>
  <c r="H650" i="2" s="1"/>
  <c r="G650" i="3" s="1"/>
  <c r="K650" i="3" s="1"/>
  <c r="V306" i="2"/>
  <c r="V656" i="2"/>
  <c r="Q354" i="2"/>
  <c r="M578" i="3"/>
  <c r="V262" i="2"/>
  <c r="J374" i="2"/>
  <c r="H374" i="2" s="1"/>
  <c r="G374" i="3" s="1"/>
  <c r="K374" i="3" s="1"/>
  <c r="J132" i="2"/>
  <c r="H132" i="2" s="1"/>
  <c r="G132" i="3" s="1"/>
  <c r="K132" i="3" s="1"/>
  <c r="V84" i="2"/>
  <c r="J257" i="2"/>
  <c r="H257" i="2" s="1"/>
  <c r="J104" i="2"/>
  <c r="H104" i="2" s="1"/>
  <c r="G104" i="3" s="1"/>
  <c r="K104" i="3" s="1"/>
  <c r="J357" i="2"/>
  <c r="H357" i="2" s="1"/>
  <c r="G357" i="3" s="1"/>
  <c r="K357" i="3" s="1"/>
  <c r="V475" i="2"/>
  <c r="V155" i="2"/>
  <c r="J187" i="2"/>
  <c r="H187" i="2" s="1"/>
  <c r="G187" i="3" s="1"/>
  <c r="K187" i="3" s="1"/>
  <c r="V228" i="2"/>
  <c r="V715" i="2"/>
  <c r="V552" i="2"/>
  <c r="J506" i="2"/>
  <c r="H506" i="2" s="1"/>
  <c r="G506" i="3" s="1"/>
  <c r="K506" i="3" s="1"/>
  <c r="V497" i="2"/>
  <c r="V324" i="2"/>
  <c r="J120" i="2"/>
  <c r="H120" i="2" s="1"/>
  <c r="G120" i="3" s="1"/>
  <c r="K120" i="3" s="1"/>
  <c r="V480" i="2"/>
  <c r="J489" i="2"/>
  <c r="H489" i="2" s="1"/>
  <c r="G489" i="3" s="1"/>
  <c r="K489" i="3" s="1"/>
  <c r="J202" i="2"/>
  <c r="H202" i="2" s="1"/>
  <c r="G202" i="3" s="1"/>
  <c r="K202" i="3" s="1"/>
  <c r="V128" i="2"/>
  <c r="Q164" i="2"/>
  <c r="V664" i="2"/>
  <c r="M292" i="3"/>
  <c r="V566" i="2"/>
  <c r="J338" i="2"/>
  <c r="H338" i="2" s="1"/>
  <c r="G338" i="3" s="1"/>
  <c r="K338" i="3" s="1"/>
  <c r="J712" i="2"/>
  <c r="H712" i="2" s="1"/>
  <c r="G712" i="3" s="1"/>
  <c r="K712" i="3" s="1"/>
  <c r="Q719" i="2"/>
  <c r="V640" i="2"/>
  <c r="V507" i="2"/>
  <c r="V699" i="2"/>
  <c r="V17" i="2"/>
  <c r="J113" i="2"/>
  <c r="H113" i="2" s="1"/>
  <c r="G113" i="3" s="1"/>
  <c r="K113" i="3" s="1"/>
  <c r="J500" i="2"/>
  <c r="H500" i="2" s="1"/>
  <c r="G500" i="3" s="1"/>
  <c r="K500" i="3" s="1"/>
  <c r="J615" i="2"/>
  <c r="H615" i="2" s="1"/>
  <c r="G615" i="3" s="1"/>
  <c r="K615" i="3" s="1"/>
  <c r="J229" i="2"/>
  <c r="H229" i="2" s="1"/>
  <c r="G229" i="3" s="1"/>
  <c r="K229" i="3" s="1"/>
  <c r="V181" i="2"/>
  <c r="J599" i="2"/>
  <c r="H599" i="2" s="1"/>
  <c r="G599" i="3" s="1"/>
  <c r="K599" i="3" s="1"/>
  <c r="Q255" i="2"/>
  <c r="V494" i="2"/>
  <c r="V253" i="2"/>
  <c r="J401" i="2"/>
  <c r="H401" i="2" s="1"/>
  <c r="G401" i="3" s="1"/>
  <c r="K401" i="3" s="1"/>
  <c r="J411" i="2"/>
  <c r="H411" i="2" s="1"/>
  <c r="G411" i="3" s="1"/>
  <c r="K411" i="3" s="1"/>
  <c r="J673" i="2"/>
  <c r="H673" i="2" s="1"/>
  <c r="G673" i="3" s="1"/>
  <c r="K673" i="3" s="1"/>
  <c r="J443" i="2"/>
  <c r="H443" i="2" s="1"/>
  <c r="G443" i="3" s="1"/>
  <c r="K443" i="3" s="1"/>
  <c r="J419" i="2"/>
  <c r="H419" i="2" s="1"/>
  <c r="G419" i="3" s="1"/>
  <c r="K419" i="3" s="1"/>
  <c r="V733" i="2"/>
  <c r="V379" i="2"/>
  <c r="Q421" i="2"/>
  <c r="V625" i="2"/>
  <c r="M186" i="3"/>
  <c r="M240" i="3"/>
  <c r="M337" i="3"/>
  <c r="M366" i="3"/>
  <c r="M405" i="3"/>
  <c r="M454" i="3"/>
  <c r="M485" i="3"/>
  <c r="M553" i="3"/>
  <c r="M736" i="3"/>
  <c r="J65" i="2"/>
  <c r="H65" i="2" s="1"/>
  <c r="V505" i="2"/>
  <c r="J168" i="2"/>
  <c r="H168" i="2" s="1"/>
  <c r="G168" i="3" s="1"/>
  <c r="K168" i="3" s="1"/>
  <c r="V721" i="2"/>
  <c r="V103" i="2"/>
  <c r="V493" i="2"/>
  <c r="V478" i="2"/>
  <c r="J311" i="2"/>
  <c r="H311" i="2" s="1"/>
  <c r="G311" i="3" s="1"/>
  <c r="K311" i="3" s="1"/>
  <c r="J38" i="2"/>
  <c r="H38" i="2" s="1"/>
  <c r="G38" i="3" s="1"/>
  <c r="K38" i="3" s="1"/>
  <c r="V614" i="2"/>
  <c r="V577" i="2"/>
  <c r="J652" i="2"/>
  <c r="H652" i="2" s="1"/>
  <c r="G652" i="3" s="1"/>
  <c r="K652" i="3" s="1"/>
  <c r="J567" i="2"/>
  <c r="H567" i="2" s="1"/>
  <c r="G567" i="3" s="1"/>
  <c r="K567" i="3" s="1"/>
  <c r="J310" i="2"/>
  <c r="H310" i="2" s="1"/>
  <c r="G310" i="3" s="1"/>
  <c r="K310" i="3" s="1"/>
  <c r="V241" i="2"/>
  <c r="J271" i="2"/>
  <c r="H271" i="2" s="1"/>
  <c r="G271" i="3" s="1"/>
  <c r="K271" i="3" s="1"/>
  <c r="Q513" i="2"/>
  <c r="M82" i="3"/>
  <c r="M215" i="3"/>
  <c r="M308" i="3"/>
  <c r="M429" i="3"/>
  <c r="M407" i="3"/>
  <c r="Q304" i="2"/>
  <c r="Q706" i="2"/>
  <c r="V264" i="2"/>
  <c r="M742" i="3"/>
  <c r="V277" i="2"/>
  <c r="Q602" i="2"/>
  <c r="V343" i="2"/>
  <c r="V619" i="2"/>
  <c r="V581" i="2"/>
  <c r="V51" i="2"/>
  <c r="AS207" i="2"/>
  <c r="M198" i="3"/>
  <c r="M703" i="3"/>
  <c r="V299" i="2"/>
  <c r="J299" i="2"/>
  <c r="H299" i="2" s="1"/>
  <c r="G299" i="3" s="1"/>
  <c r="K299" i="3" s="1"/>
  <c r="J87" i="2"/>
  <c r="H87" i="2" s="1"/>
  <c r="G87" i="3" s="1"/>
  <c r="K87" i="3" s="1"/>
  <c r="V87" i="2"/>
  <c r="J48" i="2"/>
  <c r="H48" i="2" s="1"/>
  <c r="G48" i="3" s="1"/>
  <c r="K48" i="3" s="1"/>
  <c r="V48" i="2"/>
  <c r="V534" i="2"/>
  <c r="J534" i="2"/>
  <c r="H534" i="2" s="1"/>
  <c r="G534" i="3" s="1"/>
  <c r="K534" i="3" s="1"/>
  <c r="V592" i="2"/>
  <c r="Q589" i="2"/>
  <c r="J592" i="2"/>
  <c r="H592" i="2" s="1"/>
  <c r="G592" i="3" s="1"/>
  <c r="K592" i="3" s="1"/>
  <c r="J623" i="2"/>
  <c r="H623" i="2" s="1"/>
  <c r="G623" i="3" s="1"/>
  <c r="K623" i="3" s="1"/>
  <c r="V623" i="2"/>
  <c r="V739" i="2"/>
  <c r="J739" i="2"/>
  <c r="H739" i="2" s="1"/>
  <c r="G739" i="3" s="1"/>
  <c r="K739" i="3" s="1"/>
  <c r="J127" i="2"/>
  <c r="H127" i="2" s="1"/>
  <c r="G127" i="3" s="1"/>
  <c r="K127" i="3" s="1"/>
  <c r="V127" i="2"/>
  <c r="V538" i="2"/>
  <c r="J538" i="2"/>
  <c r="H538" i="2" s="1"/>
  <c r="G538" i="3" s="1"/>
  <c r="K538" i="3" s="1"/>
  <c r="V438" i="2"/>
  <c r="J438" i="2"/>
  <c r="H438" i="2" s="1"/>
  <c r="G438" i="3" s="1"/>
  <c r="K438" i="3" s="1"/>
  <c r="J626" i="2"/>
  <c r="H626" i="2" s="1"/>
  <c r="G626" i="3" s="1"/>
  <c r="K626" i="3" s="1"/>
  <c r="V626" i="2"/>
  <c r="V445" i="2"/>
  <c r="J445" i="2"/>
  <c r="H445" i="2" s="1"/>
  <c r="G445" i="3" s="1"/>
  <c r="K445" i="3" s="1"/>
  <c r="J703" i="2"/>
  <c r="H703" i="2" s="1"/>
  <c r="G703" i="3" s="1"/>
  <c r="K703" i="3" s="1"/>
  <c r="V703" i="2"/>
  <c r="J112" i="2"/>
  <c r="H112" i="2" s="1"/>
  <c r="G112" i="3" s="1"/>
  <c r="K112" i="3" s="1"/>
  <c r="V112" i="2"/>
  <c r="J293" i="2"/>
  <c r="H293" i="2" s="1"/>
  <c r="G293" i="3" s="1"/>
  <c r="K293" i="3" s="1"/>
  <c r="V293" i="2"/>
  <c r="J646" i="2"/>
  <c r="H646" i="2" s="1"/>
  <c r="G646" i="3" s="1"/>
  <c r="V646" i="2"/>
  <c r="Q644" i="2"/>
  <c r="V175" i="2"/>
  <c r="J175" i="2"/>
  <c r="H175" i="2" s="1"/>
  <c r="G175" i="3" s="1"/>
  <c r="K175" i="3" s="1"/>
  <c r="V244" i="2"/>
  <c r="J244" i="2"/>
  <c r="H244" i="2" s="1"/>
  <c r="G244" i="3" s="1"/>
  <c r="K244" i="3" s="1"/>
  <c r="V423" i="2"/>
  <c r="J423" i="2"/>
  <c r="H423" i="2" s="1"/>
  <c r="V641" i="2"/>
  <c r="J641" i="2"/>
  <c r="H641" i="2" s="1"/>
  <c r="G641" i="3" s="1"/>
  <c r="K641" i="3" s="1"/>
  <c r="J519" i="2"/>
  <c r="H519" i="2" s="1"/>
  <c r="G519" i="3" s="1"/>
  <c r="K519" i="3" s="1"/>
  <c r="V519" i="2"/>
  <c r="V767" i="2"/>
  <c r="J767" i="2"/>
  <c r="H767" i="2" s="1"/>
  <c r="G767" i="3" s="1"/>
  <c r="K767" i="3" s="1"/>
  <c r="J124" i="2"/>
  <c r="H124" i="2" s="1"/>
  <c r="G124" i="3" s="1"/>
  <c r="K124" i="3" s="1"/>
  <c r="V124" i="2"/>
  <c r="J334" i="2"/>
  <c r="H334" i="2" s="1"/>
  <c r="G334" i="3" s="1"/>
  <c r="K334" i="3" s="1"/>
  <c r="V334" i="2"/>
  <c r="J446" i="2"/>
  <c r="H446" i="2" s="1"/>
  <c r="G446" i="3" s="1"/>
  <c r="K446" i="3" s="1"/>
  <c r="V446" i="2"/>
  <c r="V390" i="2"/>
  <c r="J390" i="2"/>
  <c r="H390" i="2" s="1"/>
  <c r="G390" i="3" s="1"/>
  <c r="K390" i="3" s="1"/>
  <c r="V553" i="2"/>
  <c r="J553" i="2"/>
  <c r="H553" i="2" s="1"/>
  <c r="G553" i="3" s="1"/>
  <c r="K553" i="3" s="1"/>
  <c r="J558" i="2"/>
  <c r="H558" i="2" s="1"/>
  <c r="G558" i="3" s="1"/>
  <c r="K558" i="3" s="1"/>
  <c r="V558" i="2"/>
  <c r="J655" i="2"/>
  <c r="H655" i="2" s="1"/>
  <c r="G655" i="3" s="1"/>
  <c r="K655" i="3" s="1"/>
  <c r="V655" i="2"/>
  <c r="J278" i="2"/>
  <c r="H278" i="2" s="1"/>
  <c r="G278" i="3" s="1"/>
  <c r="K278" i="3" s="1"/>
  <c r="V278" i="2"/>
  <c r="V182" i="2"/>
  <c r="J182" i="2"/>
  <c r="H182" i="2" s="1"/>
  <c r="G182" i="3" s="1"/>
  <c r="K182" i="3" s="1"/>
  <c r="V520" i="2"/>
  <c r="J520" i="2"/>
  <c r="H520" i="2" s="1"/>
  <c r="G520" i="3" s="1"/>
  <c r="K520" i="3" s="1"/>
  <c r="V689" i="2"/>
  <c r="J689" i="2"/>
  <c r="H689" i="2" s="1"/>
  <c r="G689" i="3" s="1"/>
  <c r="K689" i="3" s="1"/>
  <c r="M260" i="3"/>
  <c r="J261" i="2"/>
  <c r="H261" i="2" s="1"/>
  <c r="G261" i="3" s="1"/>
  <c r="K261" i="3" s="1"/>
  <c r="V261" i="2"/>
  <c r="J597" i="2"/>
  <c r="H597" i="2" s="1"/>
  <c r="G597" i="3" s="1"/>
  <c r="K597" i="3" s="1"/>
  <c r="V597" i="2"/>
  <c r="Q376" i="2"/>
  <c r="V570" i="2"/>
  <c r="J570" i="2"/>
  <c r="H570" i="2" s="1"/>
  <c r="G570" i="3" s="1"/>
  <c r="K570" i="3" s="1"/>
  <c r="J326" i="2"/>
  <c r="H326" i="2" s="1"/>
  <c r="G326" i="3" s="1"/>
  <c r="K326" i="3" s="1"/>
  <c r="V326" i="2"/>
  <c r="J517" i="2"/>
  <c r="H517" i="2" s="1"/>
  <c r="G517" i="3" s="1"/>
  <c r="K517" i="3" s="1"/>
  <c r="V517" i="2"/>
  <c r="J667" i="2"/>
  <c r="H667" i="2" s="1"/>
  <c r="G667" i="3" s="1"/>
  <c r="K667" i="3" s="1"/>
  <c r="V667" i="2"/>
  <c r="V714" i="2"/>
  <c r="J714" i="2"/>
  <c r="H714" i="2" s="1"/>
  <c r="G714" i="3" s="1"/>
  <c r="K714" i="3" s="1"/>
  <c r="Q190" i="2"/>
  <c r="J192" i="2"/>
  <c r="H192" i="2" s="1"/>
  <c r="J82" i="2"/>
  <c r="H82" i="2" s="1"/>
  <c r="G82" i="3" s="1"/>
  <c r="K82" i="3" s="1"/>
  <c r="V82" i="2"/>
  <c r="Q502" i="2"/>
  <c r="J504" i="2"/>
  <c r="H504" i="2" s="1"/>
  <c r="V637" i="2"/>
  <c r="J637" i="2"/>
  <c r="H637" i="2" s="1"/>
  <c r="G637" i="3" s="1"/>
  <c r="K637" i="3" s="1"/>
  <c r="V755" i="2"/>
  <c r="J755" i="2"/>
  <c r="H755" i="2" s="1"/>
  <c r="G755" i="3" s="1"/>
  <c r="K755" i="3" s="1"/>
  <c r="V47" i="2"/>
  <c r="J47" i="2"/>
  <c r="H47" i="2" s="1"/>
  <c r="G47" i="3" s="1"/>
  <c r="K47" i="3" s="1"/>
  <c r="V491" i="2"/>
  <c r="J491" i="2"/>
  <c r="H491" i="2" s="1"/>
  <c r="G491" i="3" s="1"/>
  <c r="K491" i="3" s="1"/>
  <c r="V220" i="2"/>
  <c r="J220" i="2"/>
  <c r="H220" i="2" s="1"/>
  <c r="G220" i="3" s="1"/>
  <c r="K220" i="3" s="1"/>
  <c r="J315" i="2"/>
  <c r="H315" i="2" s="1"/>
  <c r="G315" i="3" s="1"/>
  <c r="K315" i="3" s="1"/>
  <c r="V315" i="2"/>
  <c r="J298" i="2"/>
  <c r="H298" i="2" s="1"/>
  <c r="G298" i="3" s="1"/>
  <c r="K298" i="3" s="1"/>
  <c r="V298" i="2"/>
  <c r="V456" i="2"/>
  <c r="J456" i="2"/>
  <c r="H456" i="2" s="1"/>
  <c r="G456" i="3" s="1"/>
  <c r="K456" i="3" s="1"/>
  <c r="J184" i="2"/>
  <c r="H184" i="2" s="1"/>
  <c r="G184" i="3" s="1"/>
  <c r="K184" i="3" s="1"/>
  <c r="V184" i="2"/>
  <c r="V118" i="2"/>
  <c r="Q115" i="2"/>
  <c r="J118" i="2"/>
  <c r="H118" i="2" s="1"/>
  <c r="G118" i="3" s="1"/>
  <c r="K118" i="3" s="1"/>
  <c r="J332" i="2"/>
  <c r="H332" i="2" s="1"/>
  <c r="G332" i="3" s="1"/>
  <c r="K332" i="3" s="1"/>
  <c r="V332" i="2"/>
  <c r="J653" i="2"/>
  <c r="H653" i="2" s="1"/>
  <c r="G653" i="3" s="1"/>
  <c r="K653" i="3" s="1"/>
  <c r="V653" i="2"/>
  <c r="V243" i="2"/>
  <c r="J243" i="2"/>
  <c r="H243" i="2" s="1"/>
  <c r="G243" i="3" s="1"/>
  <c r="K243" i="3" s="1"/>
  <c r="J431" i="2"/>
  <c r="H431" i="2" s="1"/>
  <c r="G431" i="3" s="1"/>
  <c r="K431" i="3" s="1"/>
  <c r="V431" i="2"/>
  <c r="J455" i="2"/>
  <c r="H455" i="2" s="1"/>
  <c r="G455" i="3" s="1"/>
  <c r="K455" i="3" s="1"/>
  <c r="V455" i="2"/>
  <c r="Q450" i="2"/>
  <c r="Q680" i="2"/>
  <c r="V686" i="2"/>
  <c r="J686" i="2"/>
  <c r="H686" i="2" s="1"/>
  <c r="G686" i="3" s="1"/>
  <c r="K686" i="3" s="1"/>
  <c r="V658" i="2"/>
  <c r="J658" i="2"/>
  <c r="H658" i="2" s="1"/>
  <c r="G658" i="3" s="1"/>
  <c r="K658" i="3" s="1"/>
  <c r="J756" i="2"/>
  <c r="H756" i="2" s="1"/>
  <c r="G756" i="3" s="1"/>
  <c r="K756" i="3" s="1"/>
  <c r="V756" i="2"/>
  <c r="V105" i="2"/>
  <c r="J105" i="2"/>
  <c r="H105" i="2" s="1"/>
  <c r="G105" i="3" s="1"/>
  <c r="K105" i="3" s="1"/>
  <c r="J366" i="2"/>
  <c r="H366" i="2" s="1"/>
  <c r="G366" i="3" s="1"/>
  <c r="K366" i="3" s="1"/>
  <c r="V366" i="2"/>
  <c r="J292" i="2"/>
  <c r="H292" i="2" s="1"/>
  <c r="G292" i="3" s="1"/>
  <c r="K292" i="3" s="1"/>
  <c r="V292" i="2"/>
  <c r="J533" i="2"/>
  <c r="H533" i="2" s="1"/>
  <c r="G533" i="3" s="1"/>
  <c r="K533" i="3" s="1"/>
  <c r="Q530" i="2"/>
  <c r="V434" i="2"/>
  <c r="J434" i="2"/>
  <c r="H434" i="2" s="1"/>
  <c r="G434" i="3" s="1"/>
  <c r="K434" i="3" s="1"/>
  <c r="J621" i="2"/>
  <c r="H621" i="2" s="1"/>
  <c r="G621" i="3" s="1"/>
  <c r="K621" i="3" s="1"/>
  <c r="V621" i="2"/>
  <c r="M651" i="3"/>
  <c r="M716" i="3"/>
  <c r="J543" i="2"/>
  <c r="H543" i="2" s="1"/>
  <c r="G543" i="3" s="1"/>
  <c r="K543" i="3" s="1"/>
  <c r="V543" i="2"/>
  <c r="V136" i="2"/>
  <c r="J136" i="2"/>
  <c r="H136" i="2" s="1"/>
  <c r="G136" i="3" s="1"/>
  <c r="K136" i="3" s="1"/>
  <c r="J554" i="2"/>
  <c r="H554" i="2" s="1"/>
  <c r="G554" i="3" s="1"/>
  <c r="K554" i="3" s="1"/>
  <c r="V554" i="2"/>
  <c r="J415" i="2"/>
  <c r="H415" i="2" s="1"/>
  <c r="G415" i="3" s="1"/>
  <c r="K415" i="3" s="1"/>
  <c r="V415" i="2"/>
  <c r="J70" i="2"/>
  <c r="H70" i="2" s="1"/>
  <c r="G70" i="3" s="1"/>
  <c r="K70" i="3" s="1"/>
  <c r="V70" i="2"/>
  <c r="Q397" i="2"/>
  <c r="Q222" i="2"/>
  <c r="Q630" i="2"/>
  <c r="Q151" i="2"/>
  <c r="M326" i="3"/>
  <c r="M262" i="3"/>
  <c r="M534" i="3"/>
  <c r="M525" i="3"/>
  <c r="M385" i="3"/>
  <c r="M36" i="3"/>
  <c r="M735" i="3"/>
  <c r="M162" i="3"/>
  <c r="J217" i="2"/>
  <c r="H217" i="2" s="1"/>
  <c r="G217" i="3" s="1"/>
  <c r="K217" i="3" s="1"/>
  <c r="J325" i="2"/>
  <c r="H325" i="2" s="1"/>
  <c r="G325" i="3" s="1"/>
  <c r="K325" i="3" s="1"/>
  <c r="V325" i="2"/>
  <c r="Q72" i="2"/>
  <c r="M700" i="3"/>
  <c r="Q207" i="2"/>
  <c r="J188" i="2"/>
  <c r="H188" i="2" s="1"/>
  <c r="G188" i="3" s="1"/>
  <c r="K188" i="3" s="1"/>
  <c r="Q473" i="2"/>
  <c r="V157" i="2"/>
  <c r="J770" i="2"/>
  <c r="H770" i="2" s="1"/>
  <c r="G770" i="3" s="1"/>
  <c r="K770" i="3" s="1"/>
  <c r="J203" i="2"/>
  <c r="H203" i="2" s="1"/>
  <c r="G203" i="3" s="1"/>
  <c r="K203" i="3" s="1"/>
  <c r="V224" i="2"/>
  <c r="V758" i="2"/>
  <c r="J239" i="2"/>
  <c r="H239" i="2" s="1"/>
  <c r="G239" i="3" s="1"/>
  <c r="K239" i="3" s="1"/>
  <c r="J402" i="2"/>
  <c r="H402" i="2" s="1"/>
  <c r="G402" i="3" s="1"/>
  <c r="K402" i="3" s="1"/>
  <c r="J61" i="2"/>
  <c r="H61" i="2" s="1"/>
  <c r="G61" i="3" s="1"/>
  <c r="K61" i="3" s="1"/>
  <c r="J252" i="2"/>
  <c r="H252" i="2" s="1"/>
  <c r="G252" i="3" s="1"/>
  <c r="K252" i="3" s="1"/>
  <c r="J69" i="2"/>
  <c r="H69" i="2" s="1"/>
  <c r="G69" i="3" s="1"/>
  <c r="K69" i="3" s="1"/>
  <c r="V657" i="2"/>
  <c r="V409" i="2"/>
  <c r="V143" i="2"/>
  <c r="V263" i="2"/>
  <c r="J569" i="2"/>
  <c r="H569" i="2" s="1"/>
  <c r="G569" i="3" s="1"/>
  <c r="K569" i="3" s="1"/>
  <c r="V757" i="2"/>
  <c r="J753" i="2"/>
  <c r="H753" i="2" s="1"/>
  <c r="G753" i="3" s="1"/>
  <c r="K753" i="3" s="1"/>
  <c r="J158" i="2"/>
  <c r="H158" i="2" s="1"/>
  <c r="G158" i="3" s="1"/>
  <c r="K158" i="3" s="1"/>
  <c r="J194" i="2"/>
  <c r="H194" i="2" s="1"/>
  <c r="G194" i="3" s="1"/>
  <c r="K194" i="3" s="1"/>
  <c r="V545" i="2"/>
  <c r="J224" i="2"/>
  <c r="H224" i="2" s="1"/>
  <c r="G224" i="3" s="1"/>
  <c r="J651" i="2"/>
  <c r="H651" i="2" s="1"/>
  <c r="G651" i="3" s="1"/>
  <c r="K651" i="3" s="1"/>
  <c r="M380" i="3"/>
  <c r="V385" i="2"/>
  <c r="M347" i="3"/>
  <c r="J571" i="2"/>
  <c r="H571" i="2" s="1"/>
  <c r="G571" i="3" s="1"/>
  <c r="K571" i="3" s="1"/>
  <c r="J772" i="2"/>
  <c r="H772" i="2" s="1"/>
  <c r="G772" i="3" s="1"/>
  <c r="K772" i="3" s="1"/>
  <c r="J634" i="2"/>
  <c r="H634" i="2" s="1"/>
  <c r="G634" i="3" s="1"/>
  <c r="K634" i="3" s="1"/>
  <c r="V672" i="2"/>
  <c r="J522" i="2"/>
  <c r="H522" i="2" s="1"/>
  <c r="G522" i="3" s="1"/>
  <c r="K522" i="3" s="1"/>
  <c r="J290" i="2"/>
  <c r="V674" i="2"/>
  <c r="V463" i="2"/>
  <c r="V233" i="2"/>
  <c r="J52" i="2"/>
  <c r="H52" i="2" s="1"/>
  <c r="G52" i="3" s="1"/>
  <c r="K52" i="3" s="1"/>
  <c r="V727" i="2"/>
  <c r="J111" i="2"/>
  <c r="H111" i="2" s="1"/>
  <c r="G111" i="3" s="1"/>
  <c r="K111" i="3" s="1"/>
  <c r="J35" i="2"/>
  <c r="H35" i="2" s="1"/>
  <c r="G35" i="3" s="1"/>
  <c r="K35" i="3" s="1"/>
  <c r="V337" i="2"/>
  <c r="J399" i="2"/>
  <c r="H399" i="2" s="1"/>
  <c r="G399" i="3" s="1"/>
  <c r="J134" i="2"/>
  <c r="H134" i="2" s="1"/>
  <c r="G134" i="3" s="1"/>
  <c r="K134" i="3" s="1"/>
  <c r="M695" i="3"/>
  <c r="M182" i="3"/>
  <c r="M110" i="3"/>
  <c r="M132" i="3"/>
  <c r="M200" i="3"/>
  <c r="M252" i="3"/>
  <c r="M447" i="3"/>
  <c r="M620" i="3"/>
  <c r="M528" i="3"/>
  <c r="M498" i="3"/>
  <c r="V710" i="2"/>
  <c r="J30" i="2"/>
  <c r="H30" i="2" s="1"/>
  <c r="G30" i="3" s="1"/>
  <c r="K30" i="3" s="1"/>
  <c r="J392" i="2"/>
  <c r="H392" i="2" s="1"/>
  <c r="G392" i="3" s="1"/>
  <c r="K392" i="3" s="1"/>
  <c r="J365" i="2"/>
  <c r="H365" i="2" s="1"/>
  <c r="G365" i="3" s="1"/>
  <c r="K365" i="3" s="1"/>
  <c r="V765" i="2"/>
  <c r="J608" i="2"/>
  <c r="H608" i="2" s="1"/>
  <c r="G608" i="3" s="1"/>
  <c r="K608" i="3" s="1"/>
  <c r="J430" i="2"/>
  <c r="H430" i="2" s="1"/>
  <c r="G430" i="3" s="1"/>
  <c r="K430" i="3" s="1"/>
  <c r="Q288" i="2"/>
  <c r="J654" i="2"/>
  <c r="H654" i="2" s="1"/>
  <c r="G654" i="3" s="1"/>
  <c r="K654" i="3" s="1"/>
  <c r="J157" i="2"/>
  <c r="H157" i="2" s="1"/>
  <c r="G157" i="3" s="1"/>
  <c r="K157" i="3" s="1"/>
  <c r="J75" i="2"/>
  <c r="H75" i="2" s="1"/>
  <c r="G75" i="3" s="1"/>
  <c r="K75" i="3" s="1"/>
  <c r="J726" i="2"/>
  <c r="H726" i="2" s="1"/>
  <c r="G726" i="3" s="1"/>
  <c r="K726" i="3" s="1"/>
  <c r="J388" i="2"/>
  <c r="H388" i="2" s="1"/>
  <c r="G388" i="3" s="1"/>
  <c r="K388" i="3" s="1"/>
  <c r="J716" i="2"/>
  <c r="H716" i="2" s="1"/>
  <c r="G716" i="3" s="1"/>
  <c r="K716" i="3" s="1"/>
  <c r="J98" i="2"/>
  <c r="H98" i="2" s="1"/>
  <c r="G98" i="3" s="1"/>
  <c r="K98" i="3" s="1"/>
  <c r="V137" i="2"/>
  <c r="J649" i="2"/>
  <c r="H649" i="2" s="1"/>
  <c r="G649" i="3" s="1"/>
  <c r="K649" i="3" s="1"/>
  <c r="M427" i="3"/>
  <c r="V46" i="2"/>
  <c r="V499" i="2"/>
  <c r="V417" i="2"/>
  <c r="M352" i="3"/>
  <c r="J45" i="2"/>
  <c r="H45" i="2" s="1"/>
  <c r="M107" i="3"/>
  <c r="M76" i="3"/>
  <c r="M135" i="3"/>
  <c r="M194" i="3"/>
  <c r="M148" i="3"/>
  <c r="M181" i="3"/>
  <c r="M456" i="3"/>
  <c r="M417" i="3"/>
  <c r="M476" i="3"/>
  <c r="M606" i="3"/>
  <c r="M576" i="3"/>
  <c r="M349" i="3"/>
  <c r="M95" i="3"/>
  <c r="M251" i="3"/>
  <c r="M134" i="3"/>
  <c r="M226" i="3"/>
  <c r="M419" i="3"/>
  <c r="M560" i="3"/>
  <c r="M647" i="3"/>
  <c r="M650" i="3"/>
  <c r="M582" i="3"/>
  <c r="M768" i="3"/>
  <c r="M690" i="3"/>
  <c r="M731" i="3"/>
  <c r="Q760" i="2"/>
  <c r="V232" i="2"/>
  <c r="M625" i="3"/>
  <c r="V178" i="2"/>
  <c r="M144" i="3"/>
  <c r="M516" i="3"/>
  <c r="N11" i="2"/>
  <c r="W26" i="1" s="1"/>
  <c r="M58" i="3"/>
  <c r="M112" i="3"/>
  <c r="M732" i="3"/>
  <c r="M274" i="3"/>
  <c r="M122" i="3"/>
  <c r="M241" i="3"/>
  <c r="M369" i="3"/>
  <c r="M448" i="3"/>
  <c r="M538" i="3"/>
  <c r="M535" i="3"/>
  <c r="M59" i="3"/>
  <c r="M174" i="3"/>
  <c r="M102" i="3"/>
  <c r="M379" i="3"/>
  <c r="M446" i="3"/>
  <c r="M683" i="3"/>
  <c r="M453" i="3"/>
  <c r="M469" i="3"/>
  <c r="M734" i="3"/>
  <c r="M676" i="3"/>
  <c r="M339" i="3"/>
  <c r="M752" i="3"/>
  <c r="AS602" i="2"/>
  <c r="M77" i="3"/>
  <c r="M32" i="3"/>
  <c r="M575" i="3"/>
  <c r="M70" i="3"/>
  <c r="M120" i="3"/>
  <c r="M272" i="3"/>
  <c r="AS513" i="2"/>
  <c r="AS706" i="2"/>
  <c r="M725" i="3"/>
  <c r="M86" i="3"/>
  <c r="M145" i="3"/>
  <c r="M176" i="3"/>
  <c r="M159" i="3"/>
  <c r="M142" i="3"/>
  <c r="M322" i="3"/>
  <c r="M390" i="3"/>
  <c r="M348" i="3"/>
  <c r="M246" i="3"/>
  <c r="M418" i="3"/>
  <c r="M491" i="3"/>
  <c r="M704" i="3"/>
  <c r="M748" i="3"/>
  <c r="M185" i="3"/>
  <c r="M586" i="3"/>
  <c r="AS317" i="2"/>
  <c r="M75" i="3"/>
  <c r="M580" i="3"/>
  <c r="M751" i="3"/>
  <c r="M55" i="3"/>
  <c r="M382" i="3"/>
  <c r="AX63" i="2"/>
  <c r="M758" i="3"/>
  <c r="M659" i="3"/>
  <c r="M52" i="3"/>
  <c r="M40" i="3"/>
  <c r="M359" i="3"/>
  <c r="M83" i="3"/>
  <c r="M220" i="3"/>
  <c r="M445" i="3"/>
  <c r="M579" i="3"/>
  <c r="M488" i="3"/>
  <c r="M600" i="3"/>
  <c r="M493" i="3"/>
  <c r="M404" i="3"/>
  <c r="M350" i="3"/>
  <c r="M577" i="3"/>
  <c r="M409" i="3"/>
  <c r="M733" i="3"/>
  <c r="M386" i="3"/>
  <c r="M668" i="3"/>
  <c r="M156" i="3"/>
  <c r="M183" i="3"/>
  <c r="M709" i="3"/>
  <c r="M568" i="3"/>
  <c r="M18" i="3"/>
  <c r="M214" i="3"/>
  <c r="M242" i="3"/>
  <c r="M368" i="3"/>
  <c r="AS610" i="2"/>
  <c r="M699" i="3"/>
  <c r="M41" i="3"/>
  <c r="M49" i="3"/>
  <c r="M133" i="3"/>
  <c r="M149" i="3"/>
  <c r="M108" i="3"/>
  <c r="M432" i="3"/>
  <c r="M400" i="3"/>
  <c r="M412" i="3"/>
  <c r="M607" i="3"/>
  <c r="M360" i="3"/>
  <c r="M519" i="3"/>
  <c r="M628" i="3"/>
  <c r="M746" i="3"/>
  <c r="M772" i="3"/>
  <c r="M717" i="3"/>
  <c r="AS502" i="2"/>
  <c r="M496" i="3"/>
  <c r="M522" i="3"/>
  <c r="M128" i="3"/>
  <c r="M282" i="3"/>
  <c r="M619" i="3"/>
  <c r="M728" i="3"/>
  <c r="M28" i="3"/>
  <c r="M581" i="3"/>
  <c r="M622" i="3"/>
  <c r="M197" i="3"/>
  <c r="M324" i="3"/>
  <c r="M232" i="3"/>
  <c r="M657" i="3"/>
  <c r="M296" i="3"/>
  <c r="M558" i="3"/>
  <c r="M599" i="3"/>
  <c r="M93" i="3"/>
  <c r="M567" i="3"/>
  <c r="M594" i="3"/>
  <c r="M140" i="3"/>
  <c r="M199" i="3"/>
  <c r="M127" i="3"/>
  <c r="M38" i="3"/>
  <c r="M104" i="3"/>
  <c r="M81" i="3"/>
  <c r="M408" i="3"/>
  <c r="M411" i="3"/>
  <c r="M559" i="3"/>
  <c r="M747" i="3"/>
  <c r="M457" i="3"/>
  <c r="M653" i="3"/>
  <c r="M295" i="3"/>
  <c r="M188" i="3"/>
  <c r="M545" i="3"/>
  <c r="M638" i="3"/>
  <c r="M605" i="3"/>
  <c r="M216" i="3"/>
  <c r="M433" i="3"/>
  <c r="M696" i="3"/>
  <c r="M754" i="3"/>
  <c r="M298" i="3"/>
  <c r="M259" i="3"/>
  <c r="M227" i="3"/>
  <c r="M47" i="3"/>
  <c r="M338" i="3"/>
  <c r="M593" i="3"/>
  <c r="M524" i="3"/>
  <c r="M60" i="3"/>
  <c r="M722" i="3"/>
  <c r="M239" i="3"/>
  <c r="M332" i="3"/>
  <c r="M642" i="3"/>
  <c r="M626" i="3"/>
  <c r="M139" i="3"/>
  <c r="M430" i="3"/>
  <c r="M482" i="3"/>
  <c r="M294" i="3"/>
  <c r="M335" i="3"/>
  <c r="M753" i="3"/>
  <c r="M173" i="3"/>
  <c r="M500" i="3"/>
  <c r="M280" i="3"/>
  <c r="M111" i="3"/>
  <c r="M543" i="3"/>
  <c r="M726" i="3"/>
  <c r="M756" i="3"/>
  <c r="M367" i="3"/>
  <c r="M231" i="3"/>
  <c r="M739" i="3"/>
  <c r="M391" i="3"/>
  <c r="AS115" i="2"/>
  <c r="M656" i="3"/>
  <c r="AX421" i="2"/>
  <c r="M540" i="3"/>
  <c r="M372" i="3"/>
  <c r="M202" i="3"/>
  <c r="M278" i="3"/>
  <c r="M674" i="3"/>
  <c r="M180" i="3"/>
  <c r="M320" i="3"/>
  <c r="M126" i="3"/>
  <c r="M738" i="3"/>
  <c r="M243" i="3"/>
  <c r="M691" i="3"/>
  <c r="M235" i="3"/>
  <c r="M727" i="3"/>
  <c r="M466" i="3"/>
  <c r="M570" i="3"/>
  <c r="M615" i="3"/>
  <c r="M637" i="3"/>
  <c r="M729" i="3"/>
  <c r="M539" i="3"/>
  <c r="M211" i="3"/>
  <c r="M84" i="3"/>
  <c r="M520" i="3"/>
  <c r="M484" i="3"/>
  <c r="M275" i="3"/>
  <c r="M334" i="3"/>
  <c r="M169" i="3"/>
  <c r="M413" i="3"/>
  <c r="AS15" i="2"/>
  <c r="M261" i="3"/>
  <c r="M483" i="3"/>
  <c r="M30" i="3"/>
  <c r="M715" i="3"/>
  <c r="M19" i="3"/>
  <c r="M744" i="3"/>
  <c r="M673" i="3"/>
  <c r="M666" i="3"/>
  <c r="M370" i="3"/>
  <c r="M31" i="3"/>
  <c r="M154" i="3"/>
  <c r="M281" i="3"/>
  <c r="M608" i="3"/>
  <c r="M310" i="3"/>
  <c r="M698" i="3"/>
  <c r="M119" i="3"/>
  <c r="M521" i="3"/>
  <c r="M755" i="3"/>
  <c r="M678" i="3"/>
  <c r="M461" i="3"/>
  <c r="M228" i="3"/>
  <c r="M98" i="3"/>
  <c r="M33" i="3"/>
  <c r="M627" i="3"/>
  <c r="M506" i="3"/>
  <c r="M291" i="3"/>
  <c r="M103" i="3"/>
  <c r="M78" i="3"/>
  <c r="M184" i="3"/>
  <c r="M96" i="3"/>
  <c r="M309" i="3"/>
  <c r="M470" i="3"/>
  <c r="M546" i="3"/>
  <c r="M693" i="3"/>
  <c r="M464" i="3"/>
  <c r="M364" i="3"/>
  <c r="M494" i="3"/>
  <c r="M510" i="3"/>
  <c r="M584" i="3"/>
  <c r="M639" i="3"/>
  <c r="M740" i="3"/>
  <c r="M655" i="3"/>
  <c r="M507" i="3"/>
  <c r="M614" i="3"/>
  <c r="M616" i="3"/>
  <c r="M297" i="3"/>
  <c r="M245" i="3"/>
  <c r="M229" i="3"/>
  <c r="AX304" i="2"/>
  <c r="M763" i="3"/>
  <c r="M597" i="3"/>
  <c r="M471" i="3"/>
  <c r="M302" i="3"/>
  <c r="M263" i="3"/>
  <c r="M737" i="3"/>
  <c r="M489" i="3"/>
  <c r="M431" i="3"/>
  <c r="M244" i="3"/>
  <c r="M136" i="3"/>
  <c r="AS644" i="2"/>
  <c r="M170" i="3"/>
  <c r="M694" i="3"/>
  <c r="M175" i="3"/>
  <c r="M131" i="3"/>
  <c r="M685" i="3"/>
  <c r="M161" i="3"/>
  <c r="M574" i="3"/>
  <c r="AX630" i="2"/>
  <c r="AX341" i="2"/>
  <c r="M79" i="3"/>
  <c r="M692" i="3"/>
  <c r="M109" i="3"/>
  <c r="M68" i="3"/>
  <c r="M247" i="3"/>
  <c r="M443" i="3"/>
  <c r="M426" i="3"/>
  <c r="M573" i="3"/>
  <c r="M505" i="3"/>
  <c r="M218" i="3"/>
  <c r="M416" i="3"/>
  <c r="M428" i="3"/>
  <c r="M635" i="3"/>
  <c r="M67" i="3"/>
  <c r="M233" i="3"/>
  <c r="M402" i="3"/>
  <c r="M323" i="3"/>
  <c r="M283" i="3"/>
  <c r="M572" i="3"/>
  <c r="M587" i="3"/>
  <c r="M374" i="3"/>
  <c r="M123" i="3"/>
  <c r="M311" i="3"/>
  <c r="M393" i="3"/>
  <c r="M465" i="3"/>
  <c r="M592" i="3"/>
  <c r="M641" i="3"/>
  <c r="M714" i="3"/>
  <c r="M527" i="3"/>
  <c r="M213" i="3"/>
  <c r="M121" i="3"/>
  <c r="M633" i="3"/>
  <c r="M455" i="3"/>
  <c r="M595" i="3"/>
  <c r="M388" i="3"/>
  <c r="M383" i="3"/>
  <c r="M21" i="3"/>
  <c r="M101" i="3"/>
  <c r="M157" i="3"/>
  <c r="M177" i="3"/>
  <c r="M462" i="3"/>
  <c r="M321" i="3"/>
  <c r="M424" i="3"/>
  <c r="M509" i="3"/>
  <c r="M490" i="3"/>
  <c r="M702" i="3"/>
  <c r="M596" i="3"/>
  <c r="M557" i="3"/>
  <c r="M201" i="3"/>
  <c r="M51" i="3"/>
  <c r="M94" i="3"/>
  <c r="M333" i="3"/>
  <c r="M723" i="3"/>
  <c r="M571" i="3"/>
  <c r="M48" i="3"/>
  <c r="M554" i="3"/>
  <c r="M34" i="3"/>
  <c r="M97" i="3"/>
  <c r="M100" i="3"/>
  <c r="M138" i="3"/>
  <c r="M187" i="3"/>
  <c r="M654" i="3"/>
  <c r="M518" i="3"/>
  <c r="M765" i="3"/>
  <c r="M436" i="3"/>
  <c r="M371" i="3"/>
  <c r="M57" i="3"/>
  <c r="M178" i="3"/>
  <c r="M271" i="3"/>
  <c r="M351" i="3"/>
  <c r="M61" i="3"/>
  <c r="AS164" i="2"/>
  <c r="AS63" i="2"/>
  <c r="AS662" i="2"/>
  <c r="M764" i="3"/>
  <c r="M486" i="3"/>
  <c r="M171" i="3"/>
  <c r="M389" i="3"/>
  <c r="AS190" i="2"/>
  <c r="M555" i="3"/>
  <c r="M358" i="3"/>
  <c r="M299" i="3"/>
  <c r="M196" i="3"/>
  <c r="M459" i="3"/>
  <c r="AM164" i="2"/>
  <c r="AM341" i="2"/>
  <c r="M236" i="3"/>
  <c r="M54" i="3"/>
  <c r="M35" i="3"/>
  <c r="M147" i="3"/>
  <c r="AX317" i="2"/>
  <c r="M585" i="3"/>
  <c r="M167" i="3"/>
  <c r="M684" i="3"/>
  <c r="M617" i="3"/>
  <c r="M677" i="3"/>
  <c r="M37" i="3"/>
  <c r="AS473" i="2"/>
  <c r="M551" i="3"/>
  <c r="M179" i="3"/>
  <c r="M497" i="3"/>
  <c r="M687" i="3"/>
  <c r="AX397" i="2"/>
  <c r="M270" i="3"/>
  <c r="AX267" i="2"/>
  <c r="M481" i="3"/>
  <c r="M195" i="3"/>
  <c r="M361" i="3"/>
  <c r="M273" i="3"/>
  <c r="M444" i="3"/>
  <c r="M487" i="3"/>
  <c r="M697" i="3"/>
  <c r="M583" i="3"/>
  <c r="M526" i="3"/>
  <c r="M523" i="3"/>
  <c r="M344" i="3"/>
  <c r="M743" i="3"/>
  <c r="M652" i="3"/>
  <c r="M314" i="3"/>
  <c r="M205" i="3"/>
  <c r="M750" i="3"/>
  <c r="M713" i="3"/>
  <c r="M536" i="3"/>
  <c r="M598" i="3"/>
  <c r="M212" i="3"/>
  <c r="M415" i="3"/>
  <c r="M384" i="3"/>
  <c r="AS90" i="2"/>
  <c r="M463" i="3"/>
  <c r="M160" i="3"/>
  <c r="AX602" i="2"/>
  <c r="M689" i="3"/>
  <c r="M508" i="3"/>
  <c r="M541" i="3"/>
  <c r="M158" i="3"/>
  <c r="M710" i="3"/>
  <c r="AS760" i="2"/>
  <c r="M458" i="3"/>
  <c r="M711" i="3"/>
  <c r="M118" i="3"/>
  <c r="M648" i="3"/>
  <c r="M773" i="3"/>
  <c r="M286" i="3"/>
  <c r="M770" i="3"/>
  <c r="M56" i="3"/>
  <c r="M403" i="3"/>
  <c r="AX564" i="2"/>
  <c r="M636" i="3"/>
  <c r="M53" i="3"/>
  <c r="M480" i="3"/>
  <c r="M80" i="3"/>
  <c r="AX548" i="2"/>
  <c r="M634" i="3"/>
  <c r="M425" i="3"/>
  <c r="AX610" i="2"/>
  <c r="M238" i="3"/>
  <c r="M130" i="3"/>
  <c r="M88" i="3"/>
  <c r="M27" i="3"/>
  <c r="M544" i="3"/>
  <c r="M219" i="3"/>
  <c r="M336" i="3"/>
  <c r="M300" i="3"/>
  <c r="M537" i="3"/>
  <c r="M749" i="3"/>
  <c r="M712" i="3"/>
  <c r="M495" i="3"/>
  <c r="M437" i="3"/>
  <c r="M478" i="3"/>
  <c r="M250" i="3"/>
  <c r="M414" i="3"/>
  <c r="M204" i="3"/>
  <c r="M387" i="3"/>
  <c r="M279" i="3"/>
  <c r="M649" i="3"/>
  <c r="M468" i="3"/>
  <c r="M172" i="3"/>
  <c r="M253" i="3"/>
  <c r="AS589" i="2"/>
  <c r="M769" i="3"/>
  <c r="M307" i="3"/>
  <c r="AM450" i="2"/>
  <c r="AX589" i="2"/>
  <c r="M113" i="3"/>
  <c r="M672" i="3"/>
  <c r="M373" i="3"/>
  <c r="M237" i="3"/>
  <c r="AS43" i="2"/>
  <c r="M39" i="3"/>
  <c r="M137" i="3"/>
  <c r="AM207" i="2"/>
  <c r="M293" i="3"/>
  <c r="M362" i="3"/>
  <c r="M381" i="3"/>
  <c r="M168" i="3"/>
  <c r="AS397" i="2"/>
  <c r="AS548" i="2"/>
  <c r="M284" i="3"/>
  <c r="M562" i="3"/>
  <c r="M225" i="3"/>
  <c r="AS354" i="2"/>
  <c r="M325" i="3"/>
  <c r="M757" i="3"/>
  <c r="M492" i="3"/>
  <c r="M146" i="3"/>
  <c r="M623" i="3"/>
  <c r="M155" i="3"/>
  <c r="M686" i="3"/>
  <c r="M365" i="3"/>
  <c r="M357" i="3"/>
  <c r="M85" i="3"/>
  <c r="AX662" i="2"/>
  <c r="M22" i="3"/>
  <c r="M312" i="3"/>
  <c r="M621" i="3"/>
  <c r="M766" i="3"/>
  <c r="AX680" i="2"/>
  <c r="M479" i="3"/>
  <c r="M394" i="3"/>
  <c r="M438" i="3"/>
  <c r="M618" i="3"/>
  <c r="M276" i="3"/>
  <c r="AX115" i="2"/>
  <c r="M363" i="3"/>
  <c r="M745" i="3"/>
  <c r="M435" i="3"/>
  <c r="M248" i="3"/>
  <c r="M701" i="3"/>
  <c r="M688" i="3"/>
  <c r="AX530" i="2"/>
  <c r="M552" i="3"/>
  <c r="M346" i="3"/>
  <c r="M99" i="3"/>
  <c r="AS304" i="2"/>
  <c r="M69" i="3"/>
  <c r="AS564" i="2"/>
  <c r="AS376" i="2"/>
  <c r="M556" i="3"/>
  <c r="AX644" i="2"/>
  <c r="M29" i="3"/>
  <c r="AM530" i="2"/>
  <c r="M730" i="3"/>
  <c r="M724" i="3"/>
  <c r="M105" i="3"/>
  <c r="AX15" i="2"/>
  <c r="M410" i="3"/>
  <c r="M434" i="3"/>
  <c r="M675" i="3"/>
  <c r="M285" i="3"/>
  <c r="AS530" i="2"/>
  <c r="M66" i="3"/>
  <c r="M499" i="3"/>
  <c r="M46" i="3"/>
  <c r="M660" i="3"/>
  <c r="M511" i="3"/>
  <c r="M517" i="3"/>
  <c r="M301" i="3"/>
  <c r="M249" i="3"/>
  <c r="M193" i="3"/>
  <c r="M327" i="3"/>
  <c r="M624" i="3"/>
  <c r="M460" i="3"/>
  <c r="M106" i="3"/>
  <c r="M203" i="3"/>
  <c r="M264" i="3"/>
  <c r="M395" i="3"/>
  <c r="M265" i="3"/>
  <c r="M561" i="3"/>
  <c r="M658" i="3"/>
  <c r="M542" i="3"/>
  <c r="M640" i="3"/>
  <c r="M345" i="3"/>
  <c r="M210" i="3"/>
  <c r="M671" i="3"/>
  <c r="AX473" i="2"/>
  <c r="M392" i="3"/>
  <c r="M406" i="3"/>
  <c r="M124" i="3"/>
  <c r="M143" i="3"/>
  <c r="M315" i="3"/>
  <c r="M467" i="3"/>
  <c r="M234" i="3"/>
  <c r="AX440" i="2"/>
  <c r="M230" i="3"/>
  <c r="M125" i="3"/>
  <c r="M141" i="3"/>
  <c r="M313" i="3"/>
  <c r="AS329" i="2"/>
  <c r="M771" i="3"/>
  <c r="H475" i="2"/>
  <c r="BA680" i="2"/>
  <c r="M682" i="3"/>
  <c r="AX719" i="2"/>
  <c r="AS24" i="2"/>
  <c r="BA644" i="2"/>
  <c r="M646" i="3"/>
  <c r="G632" i="3"/>
  <c r="AM151" i="2"/>
  <c r="AM255" i="2"/>
  <c r="AM304" i="2"/>
  <c r="AM440" i="2"/>
  <c r="AM589" i="2"/>
  <c r="AX376" i="2"/>
  <c r="AX190" i="2"/>
  <c r="BA530" i="2"/>
  <c r="M532" i="3"/>
  <c r="BA207" i="2"/>
  <c r="M209" i="3"/>
  <c r="H166" i="2"/>
  <c r="BA63" i="2"/>
  <c r="M65" i="3"/>
  <c r="BA548" i="2"/>
  <c r="M550" i="3"/>
  <c r="BA317" i="2"/>
  <c r="M319" i="3"/>
  <c r="H15" i="3"/>
  <c r="H11" i="3" s="1"/>
  <c r="Y11" i="2"/>
  <c r="AM267" i="2"/>
  <c r="H92" i="2"/>
  <c r="BA354" i="2"/>
  <c r="M356" i="3"/>
  <c r="AX24" i="2"/>
  <c r="AL10" i="2"/>
  <c r="AM17" i="2"/>
  <c r="AM15" i="2" s="1"/>
  <c r="AL12" i="2"/>
  <c r="AM376" i="2"/>
  <c r="BA288" i="2"/>
  <c r="M290" i="3"/>
  <c r="BA304" i="2"/>
  <c r="M306" i="3"/>
  <c r="BA341" i="2"/>
  <c r="M343" i="3"/>
  <c r="M20" i="3"/>
  <c r="BA473" i="2"/>
  <c r="M475" i="3"/>
  <c r="AS450" i="2"/>
  <c r="AS680" i="2"/>
  <c r="AS288" i="2"/>
  <c r="AS267" i="2"/>
  <c r="AS72" i="2"/>
  <c r="AS421" i="2"/>
  <c r="M569" i="3"/>
  <c r="BA513" i="2"/>
  <c r="M515" i="3"/>
  <c r="BA589" i="2"/>
  <c r="M591" i="3"/>
  <c r="AM760" i="2"/>
  <c r="BA602" i="2"/>
  <c r="M604" i="3"/>
  <c r="M613" i="3"/>
  <c r="BA255" i="2"/>
  <c r="M257" i="3"/>
  <c r="BA151" i="2"/>
  <c r="M153" i="3"/>
  <c r="BA719" i="2"/>
  <c r="M721" i="3"/>
  <c r="BA376" i="2"/>
  <c r="M378" i="3"/>
  <c r="AM24" i="2"/>
  <c r="AM354" i="2"/>
  <c r="AM421" i="2"/>
  <c r="AM548" i="2"/>
  <c r="AM644" i="2"/>
  <c r="AM662" i="2"/>
  <c r="AM719" i="2"/>
  <c r="BA190" i="2"/>
  <c r="M192" i="3"/>
  <c r="BA662" i="2"/>
  <c r="M664" i="3"/>
  <c r="AX90" i="2"/>
  <c r="AX72" i="2"/>
  <c r="BA760" i="2"/>
  <c r="M762" i="3"/>
  <c r="M767" i="3"/>
  <c r="BA24" i="2"/>
  <c r="M26" i="3"/>
  <c r="AS630" i="2"/>
  <c r="M401" i="3"/>
  <c r="BA421" i="2"/>
  <c r="M423" i="3"/>
  <c r="BA90" i="2"/>
  <c r="M92" i="3"/>
  <c r="AM630" i="2"/>
  <c r="BA72" i="2"/>
  <c r="M74" i="3"/>
  <c r="M477" i="3"/>
  <c r="AS151" i="2"/>
  <c r="AX255" i="2"/>
  <c r="AX151" i="2"/>
  <c r="AM43" i="2"/>
  <c r="AM513" i="2"/>
  <c r="AM473" i="2"/>
  <c r="M669" i="3"/>
  <c r="AX502" i="2"/>
  <c r="AX288" i="2"/>
  <c r="BA15" i="2"/>
  <c r="AX513" i="2"/>
  <c r="BA610" i="2"/>
  <c r="M612" i="3"/>
  <c r="AX450" i="2"/>
  <c r="BA397" i="2"/>
  <c r="M399" i="3"/>
  <c r="AS255" i="2"/>
  <c r="BA706" i="2"/>
  <c r="M708" i="3"/>
  <c r="AX760" i="2"/>
  <c r="M533" i="3"/>
  <c r="M665" i="3"/>
  <c r="BA564" i="2"/>
  <c r="M566" i="3"/>
  <c r="G331" i="3"/>
  <c r="AM222" i="2"/>
  <c r="AM564" i="2"/>
  <c r="BA115" i="2"/>
  <c r="M117" i="3"/>
  <c r="AS222" i="2"/>
  <c r="BA450" i="2"/>
  <c r="M452" i="3"/>
  <c r="AM72" i="2"/>
  <c r="AM317" i="2"/>
  <c r="AM610" i="2"/>
  <c r="AM502" i="2"/>
  <c r="AM680" i="2"/>
  <c r="AX329" i="2"/>
  <c r="AX222" i="2"/>
  <c r="BA502" i="2"/>
  <c r="M504" i="3"/>
  <c r="AZ11" i="2"/>
  <c r="BA267" i="2"/>
  <c r="M269" i="3"/>
  <c r="AX706" i="2"/>
  <c r="AX354" i="2"/>
  <c r="AS440" i="2"/>
  <c r="AS341" i="2"/>
  <c r="AS719" i="2"/>
  <c r="I15" i="3"/>
  <c r="I11" i="3" s="1"/>
  <c r="AA11" i="2"/>
  <c r="AX207" i="2"/>
  <c r="AX164" i="2"/>
  <c r="AM63" i="2"/>
  <c r="AM115" i="2"/>
  <c r="AM90" i="2"/>
  <c r="AM190" i="2"/>
  <c r="AM288" i="2"/>
  <c r="AM329" i="2"/>
  <c r="AM397" i="2"/>
  <c r="AM602" i="2"/>
  <c r="AM706" i="2"/>
  <c r="BA630" i="2"/>
  <c r="M632" i="3"/>
  <c r="BA222" i="2"/>
  <c r="M224" i="3"/>
  <c r="BA440" i="2"/>
  <c r="M442" i="3"/>
  <c r="BA164" i="2"/>
  <c r="M166" i="3"/>
  <c r="BA43" i="2"/>
  <c r="M45" i="3"/>
  <c r="AX43" i="2"/>
  <c r="BA329" i="2"/>
  <c r="M331" i="3"/>
  <c r="V602" i="2" l="1"/>
  <c r="V190" i="2"/>
  <c r="J63" i="2"/>
  <c r="V450" i="2"/>
  <c r="V15" i="2"/>
  <c r="J602" i="2"/>
  <c r="V317" i="2"/>
  <c r="V151" i="2"/>
  <c r="V630" i="2"/>
  <c r="V341" i="2"/>
  <c r="J341" i="2"/>
  <c r="V288" i="2"/>
  <c r="V502" i="2"/>
  <c r="V304" i="2"/>
  <c r="V267" i="2"/>
  <c r="V24" i="2"/>
  <c r="J190" i="2"/>
  <c r="V63" i="2"/>
  <c r="V589" i="2"/>
  <c r="V706" i="2"/>
  <c r="J760" i="2"/>
  <c r="J255" i="2"/>
  <c r="V760" i="2"/>
  <c r="V548" i="2"/>
  <c r="V354" i="2"/>
  <c r="J15" i="2"/>
  <c r="J502" i="2"/>
  <c r="V473" i="2"/>
  <c r="V329" i="2"/>
  <c r="V680" i="2"/>
  <c r="V440" i="2"/>
  <c r="V513" i="2"/>
  <c r="V421" i="2"/>
  <c r="V43" i="2"/>
  <c r="V255" i="2"/>
  <c r="V397" i="2"/>
  <c r="V662" i="2"/>
  <c r="V376" i="2"/>
  <c r="J90" i="2"/>
  <c r="H760" i="2"/>
  <c r="H15" i="2"/>
  <c r="H502" i="2"/>
  <c r="J267" i="2"/>
  <c r="J440" i="2"/>
  <c r="V90" i="2"/>
  <c r="V564" i="2"/>
  <c r="J115" i="2"/>
  <c r="J164" i="2"/>
  <c r="V207" i="2"/>
  <c r="H329" i="2"/>
  <c r="J304" i="2"/>
  <c r="J450" i="2"/>
  <c r="J644" i="2"/>
  <c r="J397" i="2"/>
  <c r="J548" i="2"/>
  <c r="H397" i="2"/>
  <c r="J719" i="2"/>
  <c r="H630" i="2"/>
  <c r="J662" i="2"/>
  <c r="J329" i="2"/>
  <c r="H662" i="2"/>
  <c r="V610" i="2"/>
  <c r="Q11" i="2"/>
  <c r="V115" i="2"/>
  <c r="V719" i="2"/>
  <c r="J288" i="2"/>
  <c r="V222" i="2"/>
  <c r="V164" i="2"/>
  <c r="V72" i="2"/>
  <c r="V644" i="2"/>
  <c r="V530" i="2"/>
  <c r="J680" i="2"/>
  <c r="H290" i="2"/>
  <c r="H288" i="2" s="1"/>
  <c r="J610" i="2"/>
  <c r="J564" i="2"/>
  <c r="J151" i="2"/>
  <c r="J207" i="2"/>
  <c r="J630" i="2"/>
  <c r="J222" i="2"/>
  <c r="J354" i="2"/>
  <c r="H719" i="2"/>
  <c r="H304" i="2"/>
  <c r="H589" i="2"/>
  <c r="J706" i="2"/>
  <c r="J589" i="2"/>
  <c r="H644" i="2"/>
  <c r="J473" i="2"/>
  <c r="H222" i="2"/>
  <c r="H564" i="2"/>
  <c r="J72" i="2"/>
  <c r="J513" i="2"/>
  <c r="J43" i="2"/>
  <c r="H440" i="2"/>
  <c r="J530" i="2"/>
  <c r="J421" i="2"/>
  <c r="H610" i="2"/>
  <c r="H680" i="2"/>
  <c r="J317" i="2"/>
  <c r="J376" i="2"/>
  <c r="J24" i="2"/>
  <c r="G504" i="3"/>
  <c r="K504" i="3" s="1"/>
  <c r="M602" i="3"/>
  <c r="M719" i="3"/>
  <c r="M589" i="3"/>
  <c r="M63" i="3"/>
  <c r="M329" i="3"/>
  <c r="M164" i="3"/>
  <c r="M440" i="3"/>
  <c r="M760" i="3"/>
  <c r="M513" i="3"/>
  <c r="M354" i="3"/>
  <c r="M207" i="3"/>
  <c r="M680" i="3"/>
  <c r="M288" i="3"/>
  <c r="M222" i="3"/>
  <c r="M17" i="3"/>
  <c r="M15" i="3" s="1"/>
  <c r="M341" i="3"/>
  <c r="M72" i="3"/>
  <c r="M548" i="3"/>
  <c r="M644" i="3"/>
  <c r="M43" i="3"/>
  <c r="M267" i="3"/>
  <c r="M421" i="3"/>
  <c r="M662" i="3"/>
  <c r="M304" i="3"/>
  <c r="AS11" i="2"/>
  <c r="M630" i="3"/>
  <c r="M24" i="3"/>
  <c r="M502" i="3"/>
  <c r="M115" i="3"/>
  <c r="M190" i="3"/>
  <c r="M317" i="3"/>
  <c r="M397" i="3"/>
  <c r="M90" i="3"/>
  <c r="M151" i="3"/>
  <c r="M450" i="3"/>
  <c r="M706" i="3"/>
  <c r="M376" i="3"/>
  <c r="M255" i="3"/>
  <c r="AX11" i="2"/>
  <c r="G423" i="3"/>
  <c r="H421" i="2"/>
  <c r="G452" i="3"/>
  <c r="H450" i="2"/>
  <c r="K612" i="3"/>
  <c r="G610" i="3"/>
  <c r="K610" i="3" s="1"/>
  <c r="BA11" i="2"/>
  <c r="G65" i="3"/>
  <c r="H63" i="2"/>
  <c r="G45" i="3"/>
  <c r="H43" i="2"/>
  <c r="K762" i="3"/>
  <c r="G760" i="3"/>
  <c r="K760" i="3" s="1"/>
  <c r="G343" i="3"/>
  <c r="H341" i="2"/>
  <c r="G708" i="3"/>
  <c r="H706" i="2"/>
  <c r="G209" i="3"/>
  <c r="H207" i="2"/>
  <c r="G532" i="3"/>
  <c r="H530" i="2"/>
  <c r="G604" i="3"/>
  <c r="H602" i="2"/>
  <c r="K721" i="3"/>
  <c r="G719" i="3"/>
  <c r="K719" i="3" s="1"/>
  <c r="M530" i="3"/>
  <c r="K331" i="3"/>
  <c r="G329" i="3"/>
  <c r="K329" i="3" s="1"/>
  <c r="K306" i="3"/>
  <c r="G304" i="3"/>
  <c r="K304" i="3" s="1"/>
  <c r="K591" i="3"/>
  <c r="G589" i="3"/>
  <c r="K589" i="3" s="1"/>
  <c r="G378" i="3"/>
  <c r="H376" i="2"/>
  <c r="K17" i="3"/>
  <c r="G15" i="3"/>
  <c r="K646" i="3"/>
  <c r="G644" i="3"/>
  <c r="K644" i="3" s="1"/>
  <c r="G475" i="3"/>
  <c r="H473" i="2"/>
  <c r="G356" i="3"/>
  <c r="H354" i="2"/>
  <c r="K224" i="3"/>
  <c r="G222" i="3"/>
  <c r="K222" i="3" s="1"/>
  <c r="K682" i="3"/>
  <c r="G680" i="3"/>
  <c r="K680" i="3" s="1"/>
  <c r="G319" i="3"/>
  <c r="H317" i="2"/>
  <c r="G257" i="3"/>
  <c r="H255" i="2"/>
  <c r="G550" i="3"/>
  <c r="H548" i="2"/>
  <c r="M564" i="3"/>
  <c r="M610" i="3"/>
  <c r="G26" i="3"/>
  <c r="H24" i="2"/>
  <c r="G92" i="3"/>
  <c r="H90" i="2"/>
  <c r="K442" i="3"/>
  <c r="G440" i="3"/>
  <c r="K440" i="3" s="1"/>
  <c r="K664" i="3"/>
  <c r="G662" i="3"/>
  <c r="K662" i="3" s="1"/>
  <c r="K566" i="3"/>
  <c r="G564" i="3"/>
  <c r="K564" i="3" s="1"/>
  <c r="G153" i="3"/>
  <c r="H151" i="2"/>
  <c r="G515" i="3"/>
  <c r="H513" i="2"/>
  <c r="K632" i="3"/>
  <c r="G630" i="3"/>
  <c r="K630" i="3" s="1"/>
  <c r="AM11" i="2"/>
  <c r="G117" i="3"/>
  <c r="H115" i="2"/>
  <c r="G192" i="3"/>
  <c r="H190" i="2"/>
  <c r="G74" i="3"/>
  <c r="H72" i="2"/>
  <c r="G269" i="3"/>
  <c r="H267" i="2"/>
  <c r="K399" i="3"/>
  <c r="G397" i="3"/>
  <c r="K397" i="3" s="1"/>
  <c r="M473" i="3"/>
  <c r="G166" i="3"/>
  <c r="H164" i="2"/>
  <c r="G290" i="3" l="1"/>
  <c r="K290" i="3" s="1"/>
  <c r="J11" i="2"/>
  <c r="V11" i="2"/>
  <c r="W27" i="1" s="1"/>
  <c r="G502" i="3"/>
  <c r="K502" i="3" s="1"/>
  <c r="O502" i="3" s="1"/>
  <c r="H11" i="2"/>
  <c r="M11" i="3"/>
  <c r="Q397" i="3"/>
  <c r="O397" i="3"/>
  <c r="O440" i="3"/>
  <c r="Q440" i="3"/>
  <c r="O644" i="3"/>
  <c r="Q644" i="3"/>
  <c r="K192" i="3"/>
  <c r="G190" i="3"/>
  <c r="K190" i="3" s="1"/>
  <c r="K604" i="3"/>
  <c r="G602" i="3"/>
  <c r="K602" i="3" s="1"/>
  <c r="K343" i="3"/>
  <c r="G341" i="3"/>
  <c r="K341" i="3" s="1"/>
  <c r="Q564" i="3"/>
  <c r="O564" i="3"/>
  <c r="K74" i="3"/>
  <c r="G72" i="3"/>
  <c r="K72" i="3" s="1"/>
  <c r="O630" i="3"/>
  <c r="Q630" i="3"/>
  <c r="K26" i="3"/>
  <c r="G24" i="3"/>
  <c r="K24" i="3" s="1"/>
  <c r="K319" i="3"/>
  <c r="G317" i="3"/>
  <c r="K317" i="3" s="1"/>
  <c r="K356" i="3"/>
  <c r="G354" i="3"/>
  <c r="K354" i="3" s="1"/>
  <c r="K378" i="3"/>
  <c r="G376" i="3"/>
  <c r="K376" i="3" s="1"/>
  <c r="K209" i="3"/>
  <c r="G207" i="3"/>
  <c r="K207" i="3" s="1"/>
  <c r="K45" i="3"/>
  <c r="G43" i="3"/>
  <c r="K43" i="3" s="1"/>
  <c r="K452" i="3"/>
  <c r="G450" i="3"/>
  <c r="K450" i="3" s="1"/>
  <c r="K550" i="3"/>
  <c r="G548" i="3"/>
  <c r="K548" i="3" s="1"/>
  <c r="O610" i="3"/>
  <c r="Q610" i="3"/>
  <c r="O222" i="3"/>
  <c r="Q222" i="3"/>
  <c r="K15" i="3"/>
  <c r="K117" i="3"/>
  <c r="G115" i="3"/>
  <c r="K115" i="3" s="1"/>
  <c r="K257" i="3"/>
  <c r="G255" i="3"/>
  <c r="K255" i="3" s="1"/>
  <c r="K532" i="3"/>
  <c r="G530" i="3"/>
  <c r="K530" i="3" s="1"/>
  <c r="Q502" i="3"/>
  <c r="Q589" i="3"/>
  <c r="O589" i="3"/>
  <c r="O719" i="3"/>
  <c r="Q719" i="3"/>
  <c r="K515" i="3"/>
  <c r="G513" i="3"/>
  <c r="K513" i="3" s="1"/>
  <c r="O304" i="3"/>
  <c r="Q304" i="3"/>
  <c r="Q760" i="3"/>
  <c r="O760" i="3"/>
  <c r="K269" i="3"/>
  <c r="G267" i="3"/>
  <c r="K267" i="3" s="1"/>
  <c r="K153" i="3"/>
  <c r="G151" i="3"/>
  <c r="K151" i="3" s="1"/>
  <c r="K92" i="3"/>
  <c r="G90" i="3"/>
  <c r="K90" i="3" s="1"/>
  <c r="Q329" i="3"/>
  <c r="O329" i="3"/>
  <c r="K166" i="3"/>
  <c r="G164" i="3"/>
  <c r="K164" i="3" s="1"/>
  <c r="O662" i="3"/>
  <c r="Q662" i="3"/>
  <c r="Q680" i="3"/>
  <c r="O680" i="3"/>
  <c r="K475" i="3"/>
  <c r="G473" i="3"/>
  <c r="K473" i="3" s="1"/>
  <c r="K708" i="3"/>
  <c r="G706" i="3"/>
  <c r="K706" i="3" s="1"/>
  <c r="K65" i="3"/>
  <c r="G63" i="3"/>
  <c r="K63" i="3" s="1"/>
  <c r="K423" i="3"/>
  <c r="G421" i="3"/>
  <c r="K421" i="3" s="1"/>
  <c r="G288" i="3" l="1"/>
  <c r="K288" i="3" s="1"/>
  <c r="O288" i="3" s="1"/>
  <c r="Q513" i="3"/>
  <c r="O513" i="3"/>
  <c r="Q706" i="3"/>
  <c r="O706" i="3"/>
  <c r="Q164" i="3"/>
  <c r="O164" i="3"/>
  <c r="Q267" i="3"/>
  <c r="O267" i="3"/>
  <c r="Q255" i="3"/>
  <c r="O255" i="3"/>
  <c r="Q207" i="3"/>
  <c r="O207" i="3"/>
  <c r="O24" i="3"/>
  <c r="Q24" i="3"/>
  <c r="Q341" i="3"/>
  <c r="O341" i="3"/>
  <c r="Q43" i="3"/>
  <c r="O43" i="3"/>
  <c r="Q473" i="3"/>
  <c r="O473" i="3"/>
  <c r="Q548" i="3"/>
  <c r="O548" i="3"/>
  <c r="Q376" i="3"/>
  <c r="O376" i="3"/>
  <c r="O602" i="3"/>
  <c r="Q602" i="3"/>
  <c r="Q317" i="3"/>
  <c r="O317" i="3"/>
  <c r="Q115" i="3"/>
  <c r="O115" i="3"/>
  <c r="Q151" i="3"/>
  <c r="O151" i="3"/>
  <c r="Q190" i="3"/>
  <c r="O190" i="3"/>
  <c r="Q421" i="3"/>
  <c r="O421" i="3"/>
  <c r="Q90" i="3"/>
  <c r="O90" i="3"/>
  <c r="Q15" i="3"/>
  <c r="K11" i="3"/>
  <c r="O15" i="3"/>
  <c r="O450" i="3"/>
  <c r="Q450" i="3"/>
  <c r="Q354" i="3"/>
  <c r="O354" i="3"/>
  <c r="Q72" i="3"/>
  <c r="O72" i="3"/>
  <c r="O63" i="3"/>
  <c r="Q63" i="3"/>
  <c r="Q530" i="3"/>
  <c r="O530" i="3"/>
  <c r="G11" i="3"/>
  <c r="Q288" i="3" l="1"/>
  <c r="O1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J37" authorId="0" shapeId="0" xr:uid="{00000000-0006-0000-0000-000001000000}">
      <text>
        <r>
          <rPr>
            <sz val="11"/>
            <color rgb="FF000000"/>
            <rFont val="Calibri"/>
          </rPr>
          <t>======
ID#AAAAPtlMzvM
    (2021-09-22 12:51:45)
Inicialmente  Calculado em função da Porcentagem entre o Valor Pactuado com o MEC e o Calculado na Matriz. Pode ser ajustado Manualmente</t>
        </r>
      </text>
    </comment>
    <comment ref="AA42" authorId="0" shapeId="0" xr:uid="{00000000-0006-0000-0000-000002000000}">
      <text>
        <r>
          <rPr>
            <sz val="11"/>
            <color rgb="FF000000"/>
            <rFont val="Calibri"/>
          </rPr>
          <t>======
ID#AAAAPtlMzvA
    (2021-09-22 12:51:45)
Inicialmente  Calculado em função da Porcentagem entre o Valor Pactuado com o MEC e o Calculado na Matriz. Pode ser ajustado Manualmente</t>
        </r>
      </text>
    </comment>
    <comment ref="C77" authorId="0" shapeId="0" xr:uid="{00000000-0006-0000-0000-000003000000}">
      <text>
        <r>
          <rPr>
            <sz val="11"/>
            <color rgb="FF000000"/>
            <rFont val="Calibri"/>
          </rPr>
          <t xml:space="preserve"> (IEA EQUALIZADO) +  RAP PRESENCIAL EQUALIZADA</t>
        </r>
      </text>
    </comment>
    <comment ref="C82" authorId="0" shapeId="0" xr:uid="{00000000-0006-0000-0000-000004000000}">
      <text>
        <r>
          <rPr>
            <sz val="11"/>
            <color rgb="FF000000"/>
            <rFont val="Calibri"/>
          </rPr>
          <t xml:space="preserve"> RAP (5.6a Matrículas por Professor -  PNP)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6" authorId="0" shapeId="0" xr:uid="{00000000-0006-0000-0300-000001000000}">
      <text>
        <r>
          <rPr>
            <b/>
            <sz val="9"/>
            <color rgb="FF000000"/>
            <rFont val="Segoe UI"/>
          </rPr>
          <t xml:space="preserve">Matriz CONIF: </t>
        </r>
        <r>
          <rPr>
            <sz val="9"/>
            <color rgb="FF000000"/>
            <rFont val="Segoe UI"/>
          </rPr>
          <t xml:space="preserve">PNP 5.4, remover cursos FIC
</t>
        </r>
      </text>
    </comment>
  </commentList>
</comments>
</file>

<file path=xl/sharedStrings.xml><?xml version="1.0" encoding="utf-8"?>
<sst xmlns="http://schemas.openxmlformats.org/spreadsheetml/2006/main" count="5367" uniqueCount="929">
  <si>
    <t>DADOS BASE DA MATRIZ ORÇAMENTÁRIA 2023 CONIF-SETEC</t>
  </si>
  <si>
    <t>Valores Informados</t>
  </si>
  <si>
    <t>Valores Calculados</t>
  </si>
  <si>
    <t>DADOS GERAIS</t>
  </si>
  <si>
    <t>QUANTIDADE DE CAMPUS PRESENTES NA MATRIZ 2020</t>
  </si>
  <si>
    <t>% Assistência Renda Percapta</t>
  </si>
  <si>
    <t>Índice de correção 2021 para 2022 (IPCA)</t>
  </si>
  <si>
    <t>fonte:IBGE</t>
  </si>
  <si>
    <t>(abr/21 a mar/22)</t>
  </si>
  <si>
    <t>Campus Agrícola – CA</t>
  </si>
  <si>
    <t>Campus Não Agrícola – CNA</t>
  </si>
  <si>
    <t>Quantidade de Alunos Presenciais em 2019</t>
  </si>
  <si>
    <t>Campus Avançados Agrícola – ECA</t>
  </si>
  <si>
    <t>Campus Avançados Não Agrícola - ECA (CNA)</t>
  </si>
  <si>
    <r>
      <rPr>
        <sz val="11"/>
        <color rgb="FF000000"/>
        <rFont val="Calibri"/>
      </rPr>
      <t>Crescimento de Matrículas  Presenciais</t>
    </r>
    <r>
      <rPr>
        <sz val="10"/>
        <color rgb="FF000000"/>
        <rFont val="Open Sans"/>
      </rPr>
      <t xml:space="preserve"> 2019</t>
    </r>
  </si>
  <si>
    <t>Total de Campus na Matriz 2020</t>
  </si>
  <si>
    <t>Quantidade de Alunos EAD em 2019</t>
  </si>
  <si>
    <t>Índice Eficiência Acadêmica</t>
  </si>
  <si>
    <r>
      <rPr>
        <sz val="11"/>
        <color rgb="FF000000"/>
        <rFont val="Calibri"/>
      </rPr>
      <t xml:space="preserve">Crescimento de Matrículas EAD </t>
    </r>
    <r>
      <rPr>
        <sz val="10"/>
        <color rgb="FF000000"/>
        <rFont val="Open Sans"/>
      </rPr>
      <t>2019</t>
    </r>
  </si>
  <si>
    <t>Relação Aluno Professor</t>
  </si>
  <si>
    <t>Atendimento aos Percentuais Legais</t>
  </si>
  <si>
    <t>Crescimento Alunos RIP 2019</t>
  </si>
  <si>
    <t>Total Qualidade E Eficiência</t>
  </si>
  <si>
    <t>Percentual - cálculo da Anuidade CONIF</t>
  </si>
  <si>
    <t>Percentual Proposto Qualidade e Eficiência</t>
  </si>
  <si>
    <t>Percentual Proposto Funcionamento Reitoria</t>
  </si>
  <si>
    <t>Percentual Proposto Funcionamento</t>
  </si>
  <si>
    <t>Valor da Matriz 2022</t>
  </si>
  <si>
    <t>Matrículas Presenciais</t>
  </si>
  <si>
    <t>Valor MEC da Matriz 2023</t>
  </si>
  <si>
    <t>Matrículas EAD – 100% Distribuição por matrícula</t>
  </si>
  <si>
    <t>Valor da Matrícula Total Presencial (MTP)</t>
  </si>
  <si>
    <t>Total Matrículas</t>
  </si>
  <si>
    <t>Matriculas Totais dos cursos Presenciais (MTP)</t>
  </si>
  <si>
    <t>Qualidade e Eficiência Instituição</t>
  </si>
  <si>
    <t>Matrículas Totais Reitoria</t>
  </si>
  <si>
    <t>Valor da Matrícula Total UAB ETEC (MTD 25%)</t>
  </si>
  <si>
    <t>Matrícula Total UAB ETEC (MTD 25%)</t>
  </si>
  <si>
    <t>Total Matriz Reitoria</t>
  </si>
  <si>
    <r>
      <rPr>
        <sz val="10"/>
        <color rgb="FF000000"/>
        <rFont val="Open Sans"/>
      </rPr>
      <t xml:space="preserve">Valor da </t>
    </r>
    <r>
      <rPr>
        <sz val="11"/>
        <color rgb="FF000000"/>
        <rFont val="Calibri"/>
      </rPr>
      <t>Matrícula Total</t>
    </r>
    <r>
      <rPr>
        <sz val="10"/>
        <color rgb="FF000000"/>
        <rFont val="Open Sans"/>
      </rPr>
      <t xml:space="preserve"> Fin. Próprio (</t>
    </r>
    <r>
      <rPr>
        <sz val="11"/>
        <color rgb="FF000000"/>
        <rFont val="Calibri"/>
      </rPr>
      <t>MTD 80%)</t>
    </r>
  </si>
  <si>
    <t>Assistência Estudantil Presencial 25% IDH</t>
  </si>
  <si>
    <t>Assistência Estudantil Presencial 75% RENDA</t>
  </si>
  <si>
    <t>VALIDAÇÃO</t>
  </si>
  <si>
    <r>
      <rPr>
        <sz val="11"/>
        <color rgb="FF000000"/>
        <rFont val="Calibri"/>
      </rPr>
      <t>Matrícula Total</t>
    </r>
    <r>
      <rPr>
        <sz val="10"/>
        <color rgb="FF000000"/>
        <rFont val="Open Sans"/>
      </rPr>
      <t xml:space="preserve"> Financiamento Próprio (</t>
    </r>
    <r>
      <rPr>
        <sz val="11"/>
        <color rgb="FF000000"/>
        <rFont val="Calibri"/>
      </rPr>
      <t>MTD 80%)</t>
    </r>
  </si>
  <si>
    <t>Assistência Estudantil RIP</t>
  </si>
  <si>
    <t>Assistência estudantil EAD 25% IDH</t>
  </si>
  <si>
    <t>Valor Médio por Aluno Assistência Estudantil</t>
  </si>
  <si>
    <t>Assistência estudantil EAD 75% RENDA</t>
  </si>
  <si>
    <t>Total Assistência Estudantil</t>
  </si>
  <si>
    <t xml:space="preserve">Valor MEC da Assistência </t>
  </si>
  <si>
    <t>MATRÍCULAS PRESENCIAIS</t>
  </si>
  <si>
    <t>Crescimento de Matrículas</t>
  </si>
  <si>
    <t>Quantidade de Alunos</t>
  </si>
  <si>
    <t>MATRÍCULAS EDUCAÇÃO A DISTÂNCIA</t>
  </si>
  <si>
    <t>Crescimento de Matrículas UAB ETEC</t>
  </si>
  <si>
    <t>Crescimento de Matrículas Financiamento Próprio</t>
  </si>
  <si>
    <t>DADOS DE ASSISTÊNCIA ESTUDANTIL</t>
  </si>
  <si>
    <t>Crescimento da Rede de 2021 para 2022</t>
  </si>
  <si>
    <t>Total de Alunos Presenciais</t>
  </si>
  <si>
    <t>Crescimento Alunos RIP  2021 para 2022</t>
  </si>
  <si>
    <t>Total de Alunos RIP Médio</t>
  </si>
  <si>
    <t>Crescimento Alunos EAD  2021 para 2022</t>
  </si>
  <si>
    <t>Total de Alunos EAD Médio</t>
  </si>
  <si>
    <t>Faixa de Renda Percapita</t>
  </si>
  <si>
    <t>0&lt;RFP&lt;=0,5</t>
  </si>
  <si>
    <t>0,5&lt;RFP&lt;=1,0</t>
  </si>
  <si>
    <t>1,0&lt;RFP&lt;=1,5</t>
  </si>
  <si>
    <t>1,5&lt;RFP&lt;=2,5</t>
  </si>
  <si>
    <t>2,5&lt;RFP&lt;=3,5</t>
  </si>
  <si>
    <t>RFP&gt;3,5</t>
  </si>
  <si>
    <t>Peso por Faixa</t>
  </si>
  <si>
    <t>QUALIDADE E EFICIÊNCIA</t>
  </si>
  <si>
    <t>Faixas de IEA:</t>
  </si>
  <si>
    <t>Pesos</t>
  </si>
  <si>
    <t>Valor Calculado Qualidade e Eficiência Distribuição Geral</t>
  </si>
  <si>
    <t>Limite Inferior</t>
  </si>
  <si>
    <t>Limite Superior</t>
  </si>
  <si>
    <t>ÍNDICE EFICIÊNCIA ACADÊMICA</t>
  </si>
  <si>
    <t>Percentual Proposto</t>
  </si>
  <si>
    <t>IEA Rede</t>
  </si>
  <si>
    <t>Valor Calculado Distribuição Geral</t>
  </si>
  <si>
    <t>Faixas de IAPL:</t>
  </si>
  <si>
    <t>Modalidade</t>
  </si>
  <si>
    <t>Piso</t>
  </si>
  <si>
    <t xml:space="preserve"> Cursos Técnicos</t>
  </si>
  <si>
    <t>Formação de Professores</t>
  </si>
  <si>
    <t>Atendimento aos percentuais legais</t>
  </si>
  <si>
    <t>Proeja</t>
  </si>
  <si>
    <t>Faixas de RAP</t>
  </si>
  <si>
    <t>Percentual Proposto de Matrículas para Reitoria</t>
  </si>
  <si>
    <t>Valor Calculado Matrículas para Reitoria</t>
  </si>
  <si>
    <t>FUNCIONAMENTO CAMPUS NOVO</t>
  </si>
  <si>
    <t>CA</t>
  </si>
  <si>
    <t>Campus Agricola</t>
  </si>
  <si>
    <t>CNA</t>
  </si>
  <si>
    <t>Campus não Agricola</t>
  </si>
  <si>
    <t>ECA</t>
  </si>
  <si>
    <t>Campus Avançado Agricola</t>
  </si>
  <si>
    <t>ECA (CNA)</t>
  </si>
  <si>
    <t>Campus Avançado não Agricola</t>
  </si>
  <si>
    <t xml:space="preserve">      PROPOSTA MATRIZ ORÇAMENTÁRIA - COMPLETA</t>
  </si>
  <si>
    <t>v.20220629.1252</t>
  </si>
  <si>
    <t>Instituição/Campus</t>
  </si>
  <si>
    <t>Total</t>
  </si>
  <si>
    <t>Educação Presencial</t>
  </si>
  <si>
    <t>Educação a Distância</t>
  </si>
  <si>
    <t>Qualidade e Eficiência</t>
  </si>
  <si>
    <t>Assistência Estudantil</t>
  </si>
  <si>
    <t>PRESENCIAL</t>
  </si>
  <si>
    <t>EAD</t>
  </si>
  <si>
    <t>UF</t>
  </si>
  <si>
    <t>Instituíção</t>
  </si>
  <si>
    <t>Categoria</t>
  </si>
  <si>
    <t>Ano criação</t>
  </si>
  <si>
    <t>Valor Matriculas Totais Presencial e EAD Valor Minimo Ajustado</t>
  </si>
  <si>
    <t>Valor Matriculas Totais Presencial e EAD</t>
  </si>
  <si>
    <t>MTP
Matriculas Totais dos cursos Presenciais</t>
  </si>
  <si>
    <t>FRAÇÃO GERAL
das Matrículas</t>
  </si>
  <si>
    <t>Valor Matriz
Matriculas Totais Presenciais</t>
  </si>
  <si>
    <t>MTD 25%
Mat. Tot. UAB ETEC</t>
  </si>
  <si>
    <t>Complemento
MTD 25%
Matriculas Totais UAB ETEC</t>
  </si>
  <si>
    <t>MTD 80%
Mat. Tot. Finan. Próp.</t>
  </si>
  <si>
    <t>Complemento
MTD 80%
Matriculas Totais Financiamento Próprio</t>
  </si>
  <si>
    <t>Valor Matriz
Matriculas Totais EAD</t>
  </si>
  <si>
    <t>IEA Equalizado</t>
  </si>
  <si>
    <t>Valor
IEA</t>
  </si>
  <si>
    <t>RAP Proporcional</t>
  </si>
  <si>
    <t>Valor
RAP</t>
  </si>
  <si>
    <t>IAPL Equalizado</t>
  </si>
  <si>
    <t>Valor IAPL</t>
  </si>
  <si>
    <t>QACP
Quantidade de alunos nos cursos Presenciais</t>
  </si>
  <si>
    <t>MECHDA
Matrículas Equalizadas
Cursos Presenciais</t>
  </si>
  <si>
    <t>IDH do Município</t>
  </si>
  <si>
    <t>IDH Ponderado</t>
  </si>
  <si>
    <t>Fator de Potencialização do IDH =(IDH-IDH médio)*1,585</t>
  </si>
  <si>
    <t>Recursos a serem disponibilizados por aluno (R$)</t>
  </si>
  <si>
    <t>VR
Valor Pondereção Renda</t>
  </si>
  <si>
    <t>MECHDA * VR</t>
  </si>
  <si>
    <t>Índice Distribuíção</t>
  </si>
  <si>
    <t>MECHDA
Matrículas Equalizadas
Cursos a Distância</t>
  </si>
  <si>
    <t>QEAD/4
Quantidade de alunos nos cursos a Distância/4</t>
  </si>
  <si>
    <t>MECHDA/4
Matrículas Equalizadas
Cursos a Distância/4</t>
  </si>
  <si>
    <t>MECHDA/4 * VR</t>
  </si>
  <si>
    <t>QRIP
Quantidade de alunos em Regime de Internato Pleno</t>
  </si>
  <si>
    <t>MATRIZ
Assistência Estudantil
RIP</t>
  </si>
  <si>
    <t>Maior IDH</t>
  </si>
  <si>
    <t>Menor</t>
  </si>
  <si>
    <t>TOTAIS PARA TODA A REDE</t>
  </si>
  <si>
    <t>Maior/Menor</t>
  </si>
  <si>
    <t>Médio</t>
  </si>
  <si>
    <t>Menor IDH</t>
  </si>
  <si>
    <t>Maior</t>
  </si>
  <si>
    <t>AC</t>
  </si>
  <si>
    <t>INSTITUTO FEDERAL DO ACRE</t>
  </si>
  <si>
    <t>T</t>
  </si>
  <si>
    <t>?</t>
  </si>
  <si>
    <t>REITORIA</t>
  </si>
  <si>
    <t>R</t>
  </si>
  <si>
    <t>CAMPUS AVANCADO RIO BRANCO BAIXADA DO SOL</t>
  </si>
  <si>
    <t>CAMPUS CRUZEIRO DO SUL</t>
  </si>
  <si>
    <t>CAMPUS RIO BRANCO</t>
  </si>
  <si>
    <t>CAMPUS SENA MADUREIRA</t>
  </si>
  <si>
    <t>CAMPUS TARAUACA</t>
  </si>
  <si>
    <t>CAMPUS XAPURI</t>
  </si>
  <si>
    <t>AL</t>
  </si>
  <si>
    <t>INSTITUTO FEDERAL DE ALAGOAS</t>
  </si>
  <si>
    <t>CAMPUS ARAPIRACA</t>
  </si>
  <si>
    <t>CAMPUS AVANCADO MACEIO BENEDITO BENTES</t>
  </si>
  <si>
    <t>CAMPUS BATALHA</t>
  </si>
  <si>
    <t>CAMPUS CORURIPE</t>
  </si>
  <si>
    <t>CAMPUS MACEIO</t>
  </si>
  <si>
    <t>CAMPUS MARAGOGI</t>
  </si>
  <si>
    <t>CAMPUS MARECHAL DEODORO</t>
  </si>
  <si>
    <t>CAMPUS MURICI</t>
  </si>
  <si>
    <t>CAMPUS PALMEIRA DOS INDIOS</t>
  </si>
  <si>
    <t>CAMPUS PENEDO</t>
  </si>
  <si>
    <t>CAMPUS PIRANHAS</t>
  </si>
  <si>
    <t>CAMPUS RIO LARGO</t>
  </si>
  <si>
    <t>CAMPUS SANTANA DO IPANEMA</t>
  </si>
  <si>
    <t>CAMPUS SAO MIGUEL DOS CAMPOS</t>
  </si>
  <si>
    <t>CAMPUS SATUBA</t>
  </si>
  <si>
    <t>CAMPUS VIÇOSA</t>
  </si>
  <si>
    <t>AM</t>
  </si>
  <si>
    <t>INSTITUTO FEDERAL DO AMAZONAS</t>
  </si>
  <si>
    <t>CAMPUS AVANÇADO BOCA DO ACRE</t>
  </si>
  <si>
    <t>CAMPUS AVANÇADO IRANDUBA</t>
  </si>
  <si>
    <t>CAMPUS AVANCADO MANACAPURU</t>
  </si>
  <si>
    <t>CAMPUS COARI</t>
  </si>
  <si>
    <t>CAMPUS EIRUNEPE</t>
  </si>
  <si>
    <t>CAMPUS HUMAITA</t>
  </si>
  <si>
    <t>CAMPUS ITACOATIARA</t>
  </si>
  <si>
    <t>CAMPUS LABREA</t>
  </si>
  <si>
    <t>CAMPUS MANAUS CENTRO</t>
  </si>
  <si>
    <t>CAMPUS MANAUS DISTRITO INDUSTRIAL</t>
  </si>
  <si>
    <t>CAMPUS MANAUS ZONA LESTE</t>
  </si>
  <si>
    <t>CAMPUS MAUES</t>
  </si>
  <si>
    <t>CAMPUS PARINTINS</t>
  </si>
  <si>
    <t>CAMPUS PRESIDENTE FIGUEIREDO</t>
  </si>
  <si>
    <t>CAMPUS SAO GABRIEL DA CACHOEIRA</t>
  </si>
  <si>
    <t>CAMPUS TABATINGA</t>
  </si>
  <si>
    <t>CAMPUS TEFE</t>
  </si>
  <si>
    <t>AP</t>
  </si>
  <si>
    <t>INSTITUTO FEDERAL DO AMAPA</t>
  </si>
  <si>
    <t>CAMPUS AVANCADO OIAPOQUE</t>
  </si>
  <si>
    <t>CAMPUS LARANJAL DO JARI</t>
  </si>
  <si>
    <t>CAMPUS MACAPA</t>
  </si>
  <si>
    <t>CAMPUS PORTO GRANDE</t>
  </si>
  <si>
    <t>CAMPUS SANTANA</t>
  </si>
  <si>
    <t>CENTRO DE REFERÊNCIA PEDRA BRANCA DO AMAPARI</t>
  </si>
  <si>
    <t>ECR</t>
  </si>
  <si>
    <t>BA</t>
  </si>
  <si>
    <t>INSTITUTO FEDERAL BAIANO</t>
  </si>
  <si>
    <t>CAMPUS ALAGOINHAS</t>
  </si>
  <si>
    <t>CAMPUS BOM JESUS DA LAPA</t>
  </si>
  <si>
    <t>CAMPUS CATU</t>
  </si>
  <si>
    <t>CAMPUS GOVERNADOR MANGABEIRA</t>
  </si>
  <si>
    <t>CAMPUS GUANAMBI</t>
  </si>
  <si>
    <t>CAMPUS ITABERABA</t>
  </si>
  <si>
    <t>CAMPUS ITAPETINGA</t>
  </si>
  <si>
    <t>CAMPUS SANTA INES</t>
  </si>
  <si>
    <t>CAMPUS SENHOR DO BONFIM</t>
  </si>
  <si>
    <t>CAMPUS SERRINHA</t>
  </si>
  <si>
    <t>CAMPUS TEIXEIRA DE FREITAS</t>
  </si>
  <si>
    <t>CAMPUS URUCUCA</t>
  </si>
  <si>
    <t>CAMPUS VALENCA</t>
  </si>
  <si>
    <t>CAMPUS XIQUE-XIQUE</t>
  </si>
  <si>
    <t>CENTRO DE REFERENCIA DOIS DE JULHO</t>
  </si>
  <si>
    <t>INSTITUTO FEDERAL DA BAHIA</t>
  </si>
  <si>
    <t>CAMPUS AVANÇADO UBAITABA</t>
  </si>
  <si>
    <t>CAMPUS BARREIRAS</t>
  </si>
  <si>
    <t>CAMPUS BRUMADO</t>
  </si>
  <si>
    <t>CAMPUS CAMACARI</t>
  </si>
  <si>
    <t>CAMPUS EUCLIDES DA CUNHA</t>
  </si>
  <si>
    <t>CAMPUS EUNAPOLIS</t>
  </si>
  <si>
    <t>CAMPUS FEIRA DE SANTANA</t>
  </si>
  <si>
    <t>CAMPUS ILHEUS</t>
  </si>
  <si>
    <t>CAMPUS IRECE</t>
  </si>
  <si>
    <t>CAMPUS JACOBINA</t>
  </si>
  <si>
    <t>CAMPUS JEQUIE</t>
  </si>
  <si>
    <t>CAMPUS JUAZEIRO</t>
  </si>
  <si>
    <t>CAMPUS LAURO DE FREITAS</t>
  </si>
  <si>
    <t>CAMPUS PAULO AFONSO</t>
  </si>
  <si>
    <t>CAMPUS PORTO SEGURO</t>
  </si>
  <si>
    <t>CAMPUS SALVADOR</t>
  </si>
  <si>
    <t>CAMPUS SANTO AMARO</t>
  </si>
  <si>
    <t>CAMPUS SANTO ANTONIO DE JESUS</t>
  </si>
  <si>
    <t>CAMPUS SEABRA</t>
  </si>
  <si>
    <t>CAMPUS SIMOES FILHO</t>
  </si>
  <si>
    <t>CAMPUS VALENÇA TENTO</t>
  </si>
  <si>
    <t>CAMPUS VITORIA DA CONQUISTA</t>
  </si>
  <si>
    <t>CE</t>
  </si>
  <si>
    <t>INSTITUTO FEDERAL DO CEARA</t>
  </si>
  <si>
    <t>CAMPUS ACARAU</t>
  </si>
  <si>
    <t>CAMPUS ACOPIARA</t>
  </si>
  <si>
    <t>CAMPUS ARACATI</t>
  </si>
  <si>
    <t>CAMPUS AVANCADO GUARAMIRANGA</t>
  </si>
  <si>
    <t>CAMPUS AVANCADO JAGUARUANA</t>
  </si>
  <si>
    <t>CAMPUS AVANÇADO MOMBAÇA</t>
  </si>
  <si>
    <t>CAMPUS BATURITE</t>
  </si>
  <si>
    <t>CAMPUS BOA VIAGEM</t>
  </si>
  <si>
    <t>CAMPUS CAMOCIM</t>
  </si>
  <si>
    <t>CAMPUS CANINDE</t>
  </si>
  <si>
    <t>CAMPUS CAUCAIA</t>
  </si>
  <si>
    <t>CAMPUS CEDRO</t>
  </si>
  <si>
    <t>CAMPUS CRATEUS</t>
  </si>
  <si>
    <t>CAMPUS CRATO</t>
  </si>
  <si>
    <t>CAMPUS FORTALEZA</t>
  </si>
  <si>
    <t>CAMPUS HORIZONTE</t>
  </si>
  <si>
    <t>CAMPUS IGUATU</t>
  </si>
  <si>
    <t>CAMPUS ITAPIPOCA</t>
  </si>
  <si>
    <t>CAMPUS JAGUARIBE</t>
  </si>
  <si>
    <t>CAMPUS JUAZEIRO DO NORTE</t>
  </si>
  <si>
    <t>CAMPUS LIMOEIRO DO NORTE</t>
  </si>
  <si>
    <t>CAMPUS MARACANAU</t>
  </si>
  <si>
    <t>CAMPUS MARANGUAPE</t>
  </si>
  <si>
    <t>CAMPUS MORADA NOVA</t>
  </si>
  <si>
    <t>CAMPUS PARACURU</t>
  </si>
  <si>
    <t>CAMPUS PECEM</t>
  </si>
  <si>
    <t>CAMPUS QUIXADA</t>
  </si>
  <si>
    <t>CAMPUS SOBRAL</t>
  </si>
  <si>
    <t>CAMPUS TABULEIRO DO NORTE</t>
  </si>
  <si>
    <t>CAMPUS TAUA</t>
  </si>
  <si>
    <t>CAMPUS TIANGUA</t>
  </si>
  <si>
    <t>CAMPUS UBAJARA</t>
  </si>
  <si>
    <t>CAMPUS UMIRIM</t>
  </si>
  <si>
    <t>DF</t>
  </si>
  <si>
    <t>INSTITUTO FEDERAL DE BRASILIA</t>
  </si>
  <si>
    <t>CAMPUS BRASILIA</t>
  </si>
  <si>
    <t>CAMPUS CEILANDIA</t>
  </si>
  <si>
    <t>CAMPUS ESTRUTURAL</t>
  </si>
  <si>
    <t>CAMPUS GAMA</t>
  </si>
  <si>
    <t>CAMPUS PLANALTINA</t>
  </si>
  <si>
    <t>CAMPUS RECANTO DAS EMAS</t>
  </si>
  <si>
    <t>CAMPUS RIACHO FUNDO</t>
  </si>
  <si>
    <t>CAMPUS SAMAMBAIA</t>
  </si>
  <si>
    <t>CAMPUS SAO SEBASTIAO</t>
  </si>
  <si>
    <t>CAMPUS TAGUATINGA</t>
  </si>
  <si>
    <t>ES</t>
  </si>
  <si>
    <t>INSTITUTO FEDERAL DO ESPIRITO SANTO</t>
  </si>
  <si>
    <t>CAMPUS ALEGRE</t>
  </si>
  <si>
    <t>CAMPUS ARACRUZ</t>
  </si>
  <si>
    <t>CAMPUS AVANCADO VIANA</t>
  </si>
  <si>
    <t>CAMPUS BARRA DE SAO FRANCISCO</t>
  </si>
  <si>
    <t>CAMPUS CACHOEIRO DE ITAPEMIRIM</t>
  </si>
  <si>
    <t>CAMPUS CARIACICA</t>
  </si>
  <si>
    <t>CAMPUS CENTRO SERRANO</t>
  </si>
  <si>
    <t>CAMPUS COLATINA</t>
  </si>
  <si>
    <t>CAMPUS GUARAPARI</t>
  </si>
  <si>
    <t>CAMPUS IBATIBA</t>
  </si>
  <si>
    <t>CAMPUS ITAPINA</t>
  </si>
  <si>
    <t>CAMPUS LINHARES</t>
  </si>
  <si>
    <t>CAMPUS MONTANHA</t>
  </si>
  <si>
    <t>CAMPUS NOVA VENECIA</t>
  </si>
  <si>
    <t>CAMPUS PIUMA</t>
  </si>
  <si>
    <t>CAMPUS PRESIDENTE KENNEDY</t>
  </si>
  <si>
    <t>CAMPUS SANTA TERESA</t>
  </si>
  <si>
    <t>CAMPUS SAO MATEUS</t>
  </si>
  <si>
    <t>CAMPUS SERRA</t>
  </si>
  <si>
    <t>CAMPUS VENDA NOVA DO IMIGRANTE</t>
  </si>
  <si>
    <t>CAMPUS VILA VELHA</t>
  </si>
  <si>
    <t>CAMPUS VITORIA</t>
  </si>
  <si>
    <t>CENTRO DE REFERÊNCIA EM FORMAÇÃO E EDUCAÇÃO A DISTÂNCIA</t>
  </si>
  <si>
    <t>GO</t>
  </si>
  <si>
    <t>INSTITUTO FEDERAL DE GOIAS</t>
  </si>
  <si>
    <t>CAMPUS AGUAS LINDAS DE GOIAS</t>
  </si>
  <si>
    <t>CAMPUS ANAPOLIS</t>
  </si>
  <si>
    <t>CAMPUS APARECIDA DE GOIANIA</t>
  </si>
  <si>
    <t>CAMPUS CIDADE DE GOIAS</t>
  </si>
  <si>
    <t>CAMPUS FORMOSA</t>
  </si>
  <si>
    <t>CAMPUS GOIANIA</t>
  </si>
  <si>
    <t>CAMPUS GOIANIA OESTE</t>
  </si>
  <si>
    <t>CAMPUS INHUMAS</t>
  </si>
  <si>
    <t>CAMPUS ITUMBIARA</t>
  </si>
  <si>
    <t>CAMPUS JATAI</t>
  </si>
  <si>
    <t>CAMPUS LUZIANIA</t>
  </si>
  <si>
    <t>CAMPUS SENADOR CANEDO</t>
  </si>
  <si>
    <t>CAMPUS URUACU</t>
  </si>
  <si>
    <t>CAMPUS VALPARAISO DE GOIAS</t>
  </si>
  <si>
    <t>INSTITUTO FEDERAL GOIANO</t>
  </si>
  <si>
    <t>CAMPUS AVANCADO CATALAO</t>
  </si>
  <si>
    <t>CAMPUS AVANCADO HIDROLANDIA</t>
  </si>
  <si>
    <t>CAMPUS AVANCADO IPAMERI</t>
  </si>
  <si>
    <t>CAMPUS CAMPOS BELOS</t>
  </si>
  <si>
    <t>CAMPUS CERES</t>
  </si>
  <si>
    <t>CAMPUS CRISTALINA</t>
  </si>
  <si>
    <t>CAMPUS IPORA</t>
  </si>
  <si>
    <t>CAMPUS MORRINHOS</t>
  </si>
  <si>
    <t>CAMPUS POSSE</t>
  </si>
  <si>
    <t>CAMPUS RIO VERDE</t>
  </si>
  <si>
    <t>CAMPUS TRINDADE</t>
  </si>
  <si>
    <t>CAMPUS URUTAI</t>
  </si>
  <si>
    <t>MA</t>
  </si>
  <si>
    <t>INSTITUTO FEDERAL DO MARANHAO</t>
  </si>
  <si>
    <t>CAMPUS ACAILANDIA</t>
  </si>
  <si>
    <t>CAMPUS ALCANTARA</t>
  </si>
  <si>
    <t>CAMPUS ARAIOSES</t>
  </si>
  <si>
    <t>CAMPUS AVANCADO CAROLINA</t>
  </si>
  <si>
    <t>CAMPUS AVANCADO PORTO FRANCO</t>
  </si>
  <si>
    <t>CAMPUS AVANCADO ROSARIO</t>
  </si>
  <si>
    <t>CAMPUS BACABAL</t>
  </si>
  <si>
    <t>CAMPUS BARRA DO CORDA</t>
  </si>
  <si>
    <t>CAMPUS BARREIRINHAS</t>
  </si>
  <si>
    <t>CAMPUS BURITICUPU</t>
  </si>
  <si>
    <t>CAMPUS CAXIAS</t>
  </si>
  <si>
    <t>CAMPUS CODO</t>
  </si>
  <si>
    <t>CAMPUS COELHO NETO</t>
  </si>
  <si>
    <t>CAMPUS GRAJAU</t>
  </si>
  <si>
    <t>CAMPUS IMPERATRIZ</t>
  </si>
  <si>
    <t>CAMPUS ITAPECURU MIRIM</t>
  </si>
  <si>
    <t>CAMPUS PEDREIRAS</t>
  </si>
  <si>
    <t>CAMPUS PINHEIRO</t>
  </si>
  <si>
    <t>CAMPUS PRESIDENTE DUTRA</t>
  </si>
  <si>
    <t>CAMPUS SAO JOAO DOS PATOS</t>
  </si>
  <si>
    <t>CAMPUS SAO JOSE DE RIBAMAR</t>
  </si>
  <si>
    <t>CAMPUS SAO LUIS CENTRO HISTORICO</t>
  </si>
  <si>
    <t>CAMPUS SAO LUIS MARACANA</t>
  </si>
  <si>
    <t>CAMPUS SAO LUIS MONTE CASTELO</t>
  </si>
  <si>
    <t>CAMPUS SAO RAIMUNDO DAS MANGABEIRAS</t>
  </si>
  <si>
    <t>CAMPUS TIMON</t>
  </si>
  <si>
    <t>CAMPUS VIANA</t>
  </si>
  <si>
    <t>CAMPUS ZE DOCA</t>
  </si>
  <si>
    <t>CENTRO DE REFERÊNCIA TÉCNOLOGICA</t>
  </si>
  <si>
    <t>MG</t>
  </si>
  <si>
    <t>CEFET MG</t>
  </si>
  <si>
    <t>UNED ARAXA</t>
  </si>
  <si>
    <t>UNED CONTAGEM</t>
  </si>
  <si>
    <t>UNED CURVELO</t>
  </si>
  <si>
    <t>UNED DIVINOPOLIS</t>
  </si>
  <si>
    <t>UNED LEOPOLDINA</t>
  </si>
  <si>
    <t>UNED NEPOMUCENO</t>
  </si>
  <si>
    <t>UNED TIMOTEO</t>
  </si>
  <si>
    <t>UNED VARGINHA</t>
  </si>
  <si>
    <t>UNIDADE BELO HORIZONTE</t>
  </si>
  <si>
    <t>INSTITUTO FEDERAL DE MINAS GERAIS</t>
  </si>
  <si>
    <t>CAMPUS AVANCADO ARCOS</t>
  </si>
  <si>
    <t>CAMPUS AVANCADO CONSELHEIRO LAFAIETE</t>
  </si>
  <si>
    <t>CAMPUS AVANCADO IPATINGA</t>
  </si>
  <si>
    <t>CAMPUS AVANÇADO ITABIRITO</t>
  </si>
  <si>
    <t>CAMPUS AVANCADO PIUMHI</t>
  </si>
  <si>
    <t>CAMPUS AVANCADO PONTE NOVA</t>
  </si>
  <si>
    <t>CAMPUS BAMBUI</t>
  </si>
  <si>
    <t>CAMPUS BETIM</t>
  </si>
  <si>
    <t>CAMPUS CONGONHAS</t>
  </si>
  <si>
    <t>CAMPUS FORMIGA</t>
  </si>
  <si>
    <t>CAMPUS GOVERNADOR VALADARES</t>
  </si>
  <si>
    <t>CAMPUS IBIRITE</t>
  </si>
  <si>
    <t>CAMPUS OURO BRANCO</t>
  </si>
  <si>
    <t>CAMPUS OURO PRETO</t>
  </si>
  <si>
    <t>CAMPUS RIBEIRAO DAS NEVES</t>
  </si>
  <si>
    <t>CAMPUS SABARA</t>
  </si>
  <si>
    <t>CAMPUS SANTA LUZIA</t>
  </si>
  <si>
    <t>CAMPUS SAO JOAO EVANGELISTA</t>
  </si>
  <si>
    <t>INSTITUTO FEDERAL DO NORTE DE MINAS GERAIS</t>
  </si>
  <si>
    <t>CAMPUS ALMENARA</t>
  </si>
  <si>
    <t>CAMPUS ARACUAI</t>
  </si>
  <si>
    <t>CAMPUS ARINOS</t>
  </si>
  <si>
    <t>CAMPUS AVANCADO JANAUBA</t>
  </si>
  <si>
    <t>CAMPUS AVANCADO PORTEIRINHA</t>
  </si>
  <si>
    <t>CAMPUS DIAMANTINA</t>
  </si>
  <si>
    <t>CAMPUS JANUARIA</t>
  </si>
  <si>
    <t>CAMPUS MONTES CLAROS</t>
  </si>
  <si>
    <t>CAMPUS PIRAPORA</t>
  </si>
  <si>
    <t>CAMPUS SALINAS</t>
  </si>
  <si>
    <t>CAMPUS TEOFILO OTONI</t>
  </si>
  <si>
    <t>CENTRO DE REFERENCIA CORINTO</t>
  </si>
  <si>
    <t>CENTRO DE REFERÊNCIA EM EDUCAÇÃO A DISTÂNCIA</t>
  </si>
  <si>
    <t>INSTITUTO FEDERAL DO SUDESTE DE MINAS GERAIS</t>
  </si>
  <si>
    <t>CAMPUS AVANCADO BOM SUCESSO</t>
  </si>
  <si>
    <t>CAMPUS AVANCADO CATAGUASES</t>
  </si>
  <si>
    <t>CAMPUS AVANÇADO UBA</t>
  </si>
  <si>
    <t>CAMPUS BARBACENA</t>
  </si>
  <si>
    <t>CAMPUS JUIZ DE FORA</t>
  </si>
  <si>
    <t>CAMPUS MANHUACU</t>
  </si>
  <si>
    <t>CAMPUS MURIAE</t>
  </si>
  <si>
    <t>CAMPUS RIO POMBA</t>
  </si>
  <si>
    <t>CAMPUS SANTOS DUMONT</t>
  </si>
  <si>
    <t>CAMPUS SAO JOAO DEL REI</t>
  </si>
  <si>
    <t>INSTITUTO FEDERAL DO SUL MINAS GERAIS</t>
  </si>
  <si>
    <t>CAMPUS AVANCADO CARMO DE MINAS</t>
  </si>
  <si>
    <t>CAMPUS AVANCADO TRES CORACOES</t>
  </si>
  <si>
    <t>CAMPUS INCONFIDENTES</t>
  </si>
  <si>
    <t>CAMPUS MACHADO</t>
  </si>
  <si>
    <t>CAMPUS MUZAMBINHO</t>
  </si>
  <si>
    <t>CAMPUS PASSOS</t>
  </si>
  <si>
    <t>CAMPUS POCOS DE CALDAS</t>
  </si>
  <si>
    <t>CAMPUS POUSO ALEGRE</t>
  </si>
  <si>
    <t>CENTRO DE REFERENCIA ITANHANDU</t>
  </si>
  <si>
    <t>INSTITUTO FEDERAL DO TRIANGULO MINEIRO</t>
  </si>
  <si>
    <t>CAMPUS AVANCADO CAMPINA VERDE</t>
  </si>
  <si>
    <t>CAMPUS AVANCADO UBERABA PARQUE TECNOLOGICO</t>
  </si>
  <si>
    <t>CAMPUS ITUIUTABA</t>
  </si>
  <si>
    <t>CAMPUS PARACATU</t>
  </si>
  <si>
    <t>CAMPUS PATOS DE MINAS</t>
  </si>
  <si>
    <t>CAMPUS PATROCINIO</t>
  </si>
  <si>
    <t>CAMPUS UBERABA</t>
  </si>
  <si>
    <t>CAMPUS UBERLANDIA</t>
  </si>
  <si>
    <t>CAMPUS UBERLANDIA CENTRO</t>
  </si>
  <si>
    <t>MS</t>
  </si>
  <si>
    <t>INSTITUTO FEDERAL DE MATO GROSSO DO SUL</t>
  </si>
  <si>
    <t>CAMPUS AQUIDAUANA</t>
  </si>
  <si>
    <t>CAMPUS CAMPO GRANDE</t>
  </si>
  <si>
    <t>CAMPUS CORUMBA</t>
  </si>
  <si>
    <t>CAMPUS COXIM</t>
  </si>
  <si>
    <t>CAMPUS DOURADOS</t>
  </si>
  <si>
    <t>CAMPUS JARDIM</t>
  </si>
  <si>
    <t>CAMPUS NAVIRAI</t>
  </si>
  <si>
    <t>CAMPUS NOVA ANDRADINA</t>
  </si>
  <si>
    <t>CAMPUS PONTA PORA</t>
  </si>
  <si>
    <t>CAMPUS TRES LAGOAS</t>
  </si>
  <si>
    <t>MT</t>
  </si>
  <si>
    <t>INSTITUTO FEDERAL DE MATO GROSSO</t>
  </si>
  <si>
    <t>CAMPUS ALTA FLORESTA</t>
  </si>
  <si>
    <t>CAMPUS AVANCADO DIAMANTINO</t>
  </si>
  <si>
    <t>CAMPUS AVANCADO GUARANTA DO NORTE</t>
  </si>
  <si>
    <t>CAMPUS AVANCADO LUCAS DO RIO VERDE</t>
  </si>
  <si>
    <t>CAMPUS AVANCADO SINOP</t>
  </si>
  <si>
    <t>CAMPUS AVANCADO TANGARA DA SERRA</t>
  </si>
  <si>
    <t>CAMPUS BARRA DO GARCAS</t>
  </si>
  <si>
    <t>CAMPUS CACERES</t>
  </si>
  <si>
    <t>CAMPUS CAMPO NOVO DO PARECIS</t>
  </si>
  <si>
    <t>CAMPUS CONFRESA</t>
  </si>
  <si>
    <t>CAMPUS CUIABA</t>
  </si>
  <si>
    <t>CAMPUS CUIABA BELA VISTA</t>
  </si>
  <si>
    <t>CAMPUS JUINA</t>
  </si>
  <si>
    <t>CAMPUS PONTES E LACERDA</t>
  </si>
  <si>
    <t>CAMPUS PRIMAVERA DO LESTE</t>
  </si>
  <si>
    <t>CAMPUS RONDONOPOLIS</t>
  </si>
  <si>
    <t>CAMPUS SAO VICENTE</t>
  </si>
  <si>
    <t>CAMPUS SORRISO</t>
  </si>
  <si>
    <t>CAMPUS VARZEA GRANDE</t>
  </si>
  <si>
    <t>PA</t>
  </si>
  <si>
    <t>INSTITUTO FEDERAL DO PARÁ</t>
  </si>
  <si>
    <t>CAMPUS ABAETETUBA</t>
  </si>
  <si>
    <t>CAMPUS ALTAMIRA</t>
  </si>
  <si>
    <t>CAMPUS ANANINDEUA</t>
  </si>
  <si>
    <t>CAMPUS AVANCADO VIGIA</t>
  </si>
  <si>
    <t>CAMPUS BELEM</t>
  </si>
  <si>
    <t>CAMPUS BRAGANCA</t>
  </si>
  <si>
    <t>CAMPUS BREVES</t>
  </si>
  <si>
    <t>CAMPUS CAMETA</t>
  </si>
  <si>
    <t>CAMPUS CASTANHAL</t>
  </si>
  <si>
    <t>CAMPUS CONCEICAO DO ARAGUAIA</t>
  </si>
  <si>
    <t>CAMPUS ITAITUBA</t>
  </si>
  <si>
    <t>CAMPUS MARABA INDUSTRIAL</t>
  </si>
  <si>
    <t>CAMPUS MARABA RURAL</t>
  </si>
  <si>
    <t>CAMPUS OBIDOS</t>
  </si>
  <si>
    <t>CAMPUS PARAGOMINAS</t>
  </si>
  <si>
    <t>CAMPUS PARAUAPEBAS</t>
  </si>
  <si>
    <t>CAMPUS SANTAREM</t>
  </si>
  <si>
    <t>CAMPUS TUCURUI</t>
  </si>
  <si>
    <t>PB</t>
  </si>
  <si>
    <t>INSTITUTO FEDERAL DA PARAIBA</t>
  </si>
  <si>
    <t>CAMPUS AVANCADO AREIA</t>
  </si>
  <si>
    <t>CAMPUS AVANCADO CABEDELO CENTRO</t>
  </si>
  <si>
    <t>CAMPUS AVANCADO JOAO PESSOA MANGABEIRA</t>
  </si>
  <si>
    <t>CAMPUS AVANCADO PEDRAS DE FOGO</t>
  </si>
  <si>
    <t>CAMPUS AVANCADO SOLEDADE</t>
  </si>
  <si>
    <t>CAMPUS CABEDELO</t>
  </si>
  <si>
    <t>CAMPUS CAJAZEIRAS</t>
  </si>
  <si>
    <t>CAMPUS CAMPINA GRANDE</t>
  </si>
  <si>
    <t>CAMPUS CATOLE DO ROCHA</t>
  </si>
  <si>
    <t>CAMPUS ESPERANCA</t>
  </si>
  <si>
    <t>CAMPUS GUARABIRA</t>
  </si>
  <si>
    <t>CAMPUS ITABAIANA</t>
  </si>
  <si>
    <t>CAMPUS ITAPORANGA</t>
  </si>
  <si>
    <t>CAMPUS JOAO PESSOA</t>
  </si>
  <si>
    <t>CAMPUS MONTEIRO</t>
  </si>
  <si>
    <t>CAMPUS PATOS</t>
  </si>
  <si>
    <t>CAMPUS PICUI</t>
  </si>
  <si>
    <t>CAMPUS PRINCESA ISABEL</t>
  </si>
  <si>
    <t>CAMPUS SANTA RITA</t>
  </si>
  <si>
    <t>CAMPUS SOUSA</t>
  </si>
  <si>
    <t>PE</t>
  </si>
  <si>
    <t>INSTITUTO FEDERAL DE PERNAMBUCO</t>
  </si>
  <si>
    <t>CAMPUS ABREU E LIMA</t>
  </si>
  <si>
    <t>CAMPUS AFOGADOS DA INGAZEIRA</t>
  </si>
  <si>
    <t>CAMPUS BARREIROS</t>
  </si>
  <si>
    <t>CAMPUS BELO JARDIM</t>
  </si>
  <si>
    <t>CAMPUS CABO DE SANTO AGOSTINHO</t>
  </si>
  <si>
    <t>CAMPUS CARUARU</t>
  </si>
  <si>
    <t>CAMPUS GARANHUNS</t>
  </si>
  <si>
    <t>CAMPUS IGARASSU</t>
  </si>
  <si>
    <t>CAMPUS IPOJUCA</t>
  </si>
  <si>
    <t>CAMPUS JABOATAO DOS GUARARAPES</t>
  </si>
  <si>
    <t>CAMPUS OLINDA</t>
  </si>
  <si>
    <t>CAMPUS PALMARES</t>
  </si>
  <si>
    <t>CAMPUS PAULISTA</t>
  </si>
  <si>
    <t>CAMPUS PESQUEIRA</t>
  </si>
  <si>
    <t>CAMPUS RECIFE</t>
  </si>
  <si>
    <t>CAMPUS VITORIA DE SANTO ANTAO</t>
  </si>
  <si>
    <t>INSTITUTO FEDERAL DO SERTAO PERNAMBUCANO</t>
  </si>
  <si>
    <t>CAMPUS FLORESTA</t>
  </si>
  <si>
    <t>CAMPUS OURICURI</t>
  </si>
  <si>
    <t>CAMPUS PETROLINA</t>
  </si>
  <si>
    <t>CAMPUS PETROLINA ZONA RURAL</t>
  </si>
  <si>
    <t>CAMPUS SALGUEIRO</t>
  </si>
  <si>
    <t>CAMPUS SANTA MARIA DA BOA VISTA</t>
  </si>
  <si>
    <t>CAMPUS SERRA TALHADA</t>
  </si>
  <si>
    <t>PI</t>
  </si>
  <si>
    <t>INSTITUTO FEDERAL DO PIAUI</t>
  </si>
  <si>
    <t>CAMPUS ANGICAL DO PIAUI</t>
  </si>
  <si>
    <t>CAMPUS AVANÇADO JOSE DE FREITAS</t>
  </si>
  <si>
    <t>CAMPUS AVANCADO PIO IX</t>
  </si>
  <si>
    <t>CAMPUS AVANCADO TERESINA DIRCEU ARCOVERDE</t>
  </si>
  <si>
    <t>CAMPUS CAMPO MAIOR</t>
  </si>
  <si>
    <t>CAMPUS COCAL</t>
  </si>
  <si>
    <t>CAMPUS CORRENTE</t>
  </si>
  <si>
    <t>CAMPUS FLORIANO</t>
  </si>
  <si>
    <t>CAMPUS OEIRAS</t>
  </si>
  <si>
    <t>CAMPUS PARNAIBA</t>
  </si>
  <si>
    <t>CAMPUS PAULISTANA</t>
  </si>
  <si>
    <t>CAMPUS PEDRO II</t>
  </si>
  <si>
    <t>CAMPUS PICOS</t>
  </si>
  <si>
    <t>CAMPUS PIRIPIRI</t>
  </si>
  <si>
    <t>CAMPUS SAO JOAO DO PIAUI</t>
  </si>
  <si>
    <t>CAMPUS SAO RAIMUNDO NONATO</t>
  </si>
  <si>
    <t>CAMPUS TERESINA CENTRAL</t>
  </si>
  <si>
    <t>CAMPUS TERESINA ZONA SUL</t>
  </si>
  <si>
    <t>CAMPUS URUCUI</t>
  </si>
  <si>
    <t>CAMPUS VALENCA DO PIAUI</t>
  </si>
  <si>
    <t>PR</t>
  </si>
  <si>
    <t>INSTITUTO FEDERAL DO PARANA</t>
  </si>
  <si>
    <t>CAMPUS ASSIS CHATEAUBRIAND</t>
  </si>
  <si>
    <t>CAMPUS AVANÇADO ARAPONGAS</t>
  </si>
  <si>
    <t>CAMPUS AVANCADO ASTORGA</t>
  </si>
  <si>
    <t>CAMPUS AVANCADO BARRACAO</t>
  </si>
  <si>
    <t>CAMPUS AVANCADO CORONEL VIVIDA</t>
  </si>
  <si>
    <t>CAMPUS AVANÇADO GOIOERE</t>
  </si>
  <si>
    <t>CAMPUS AVANCADO QUEDAS DO IGUACU</t>
  </si>
  <si>
    <t>CAMPUS CAMPO LARGO</t>
  </si>
  <si>
    <t>CAMPUS CAPANEMA</t>
  </si>
  <si>
    <t>CAMPUS CASCAVEL</t>
  </si>
  <si>
    <t>CAMPUS COLOMBO</t>
  </si>
  <si>
    <t>CAMPUS CURITIBA</t>
  </si>
  <si>
    <t>CAMPUS FOZ DO IGUACU</t>
  </si>
  <si>
    <t>CAMPUS IRATI</t>
  </si>
  <si>
    <t>CAMPUS IVAIPORA</t>
  </si>
  <si>
    <t>CAMPUS JACAREZINHO</t>
  </si>
  <si>
    <t>CAMPUS JAGUARIAIVA</t>
  </si>
  <si>
    <t>CAMPUS LONDRINA</t>
  </si>
  <si>
    <t>CAMPUS PALMAS</t>
  </si>
  <si>
    <t>CAMPUS PARANAGUA</t>
  </si>
  <si>
    <t>CAMPUS PARANAVAI</t>
  </si>
  <si>
    <t>CAMPUS PINHAIS</t>
  </si>
  <si>
    <t>CAMPUS PITANGA</t>
  </si>
  <si>
    <t>CAMPUS TELEMACO BORBA</t>
  </si>
  <si>
    <t>CAMPUS UMUARAMA</t>
  </si>
  <si>
    <t>CAMPUS UNIAO DA VITORIA</t>
  </si>
  <si>
    <t>RJ</t>
  </si>
  <si>
    <t>CEFET RJ</t>
  </si>
  <si>
    <t>UNED ANGRA DOS REIS</t>
  </si>
  <si>
    <t>UNED ITAGUAI</t>
  </si>
  <si>
    <t>UNED MARIA DA GRACA</t>
  </si>
  <si>
    <t>UNED NOVA FRIBURGO</t>
  </si>
  <si>
    <t>UNED NOVA IGUACU</t>
  </si>
  <si>
    <t>UNED PETROPOLIS</t>
  </si>
  <si>
    <t>UNED VALENCA</t>
  </si>
  <si>
    <t>UNIDADE MARACANA</t>
  </si>
  <si>
    <t>COLEGIO PEDRO II</t>
  </si>
  <si>
    <t>CAMPUS CENTRO</t>
  </si>
  <si>
    <t>CAMPUS DUQUE DE CAXIAS CP</t>
  </si>
  <si>
    <t>CAMPUS ENGENHO NOVO I</t>
  </si>
  <si>
    <t>CAMPUS ENGENHO NOVO II</t>
  </si>
  <si>
    <t>CAMPUS HUMAITA I</t>
  </si>
  <si>
    <t>CAMPUS HUMAITA II</t>
  </si>
  <si>
    <t>CAMPUS NITEROI</t>
  </si>
  <si>
    <t>CAMPUS REALENGO I</t>
  </si>
  <si>
    <t>CAMPUS REALENGO II</t>
  </si>
  <si>
    <t>CAMPUS SAO CRISTOVAO I</t>
  </si>
  <si>
    <t>CAMPUS SAO CRISTOVAO II</t>
  </si>
  <si>
    <t>CAMPUS SAO CRISTOVAO III</t>
  </si>
  <si>
    <t>CAMPUS TIJUCA I</t>
  </si>
  <si>
    <t>CAMPUS TIJUCA II</t>
  </si>
  <si>
    <t>INSTITUTO FEDERAL DO RIO DE JANEIRO</t>
  </si>
  <si>
    <t>CAMPUS ARRAIAL DO CABO</t>
  </si>
  <si>
    <t>CAMPUS AVANCADO MESQUITA</t>
  </si>
  <si>
    <t>CAMPUS AVANCADO RESENDE</t>
  </si>
  <si>
    <t>CAMPUS BELFORD ROXO</t>
  </si>
  <si>
    <t>CAMPUS DUQUE DE CAXIAS</t>
  </si>
  <si>
    <t>CAMPUS ENGENHEIRO PAULO DE FRONTIN</t>
  </si>
  <si>
    <t>CAMPUS NILOPOLIS</t>
  </si>
  <si>
    <t>CAMPUS PARACAMBI</t>
  </si>
  <si>
    <t>CAMPUS PINHEIRAL</t>
  </si>
  <si>
    <t>CAMPUS REALENGO</t>
  </si>
  <si>
    <t>CAMPUS RIO DE JANEIRO</t>
  </si>
  <si>
    <t>CAMPUS SAO GONCALO</t>
  </si>
  <si>
    <t>CAMPUS SAO JOAO DE MERITI</t>
  </si>
  <si>
    <t>CAMPUS VOLTA REDONDA</t>
  </si>
  <si>
    <t>INSTITUTO FEDERAL FLUMINENSE</t>
  </si>
  <si>
    <t>CAMPUS AVANCADO CAMBUCI</t>
  </si>
  <si>
    <t>CAMPUS AVANCADO MARICA</t>
  </si>
  <si>
    <t>CAMPUS AVANCADO SAO JOAO DA BARRA</t>
  </si>
  <si>
    <t>CAMPUS BOM JESUS DO ITABAPOANA</t>
  </si>
  <si>
    <t>CAMPUS CABO FRIO</t>
  </si>
  <si>
    <t>CAMPUS CAMPOS CENTRO</t>
  </si>
  <si>
    <t>CAMPUS CAMPOS GUARUS</t>
  </si>
  <si>
    <t>CAMPUS ITABORAI</t>
  </si>
  <si>
    <t>CAMPUS ITAPERUNA</t>
  </si>
  <si>
    <t>CAMPUS MACAE</t>
  </si>
  <si>
    <t>CAMPUS QUISSAMA</t>
  </si>
  <si>
    <t>CAMPUS SANTO ANTONIO DE PADUA</t>
  </si>
  <si>
    <t>CENTRO DE REFERÊNCIA EM TECNOLOGIA, INFORMAÇÃO E COMUNICAÇÃO NA EDUCAÇÃO</t>
  </si>
  <si>
    <t>RN</t>
  </si>
  <si>
    <t>INSTITUTO FEDERAL DO RIO GRANDE DO NORTE</t>
  </si>
  <si>
    <t>CAMPUS APODI</t>
  </si>
  <si>
    <t>CAMPUS AVANÇADO JUCURUTU</t>
  </si>
  <si>
    <t>CAMPUS AVANÇADO LAJES</t>
  </si>
  <si>
    <t>CAMPUS AVANÇADO NATAL ZONA LESTE</t>
  </si>
  <si>
    <t>CAMPUS AVANÇADO PARELHAS</t>
  </si>
  <si>
    <t>CAMPUS CAICO</t>
  </si>
  <si>
    <t>CAMPUS CANGUARETAMA</t>
  </si>
  <si>
    <t>CAMPUS CEARA-MIRIM</t>
  </si>
  <si>
    <t>CAMPUS CURRAIS NOVOS</t>
  </si>
  <si>
    <t>CAMPUS IPANGUACU</t>
  </si>
  <si>
    <t>CAMPUS JOAO CAMARA</t>
  </si>
  <si>
    <t>CAMPUS MACAU</t>
  </si>
  <si>
    <t>CAMPUS MOSSORO</t>
  </si>
  <si>
    <t>CAMPUS NATAL CENTRAL</t>
  </si>
  <si>
    <t>CAMPUS NATAL CIDADE ALTA</t>
  </si>
  <si>
    <t>CAMPUS NATAL ZONA NORTE</t>
  </si>
  <si>
    <t>CAMPUS NOVA CRUZ</t>
  </si>
  <si>
    <t>CAMPUS PARNAMIRIM</t>
  </si>
  <si>
    <t>CAMPUS PAU DOS FERROS</t>
  </si>
  <si>
    <t>CAMPUS SANTA CRUZ</t>
  </si>
  <si>
    <t>CAMPUS SAO GONCALO DO AMARANTE</t>
  </si>
  <si>
    <t>CAMPUS SAO PAULO DO POTENGI</t>
  </si>
  <si>
    <t>RO</t>
  </si>
  <si>
    <t>INSTITUTO FEDERAL DE RONDONIA</t>
  </si>
  <si>
    <t>CAMPUS ARIQUEMES</t>
  </si>
  <si>
    <t>CAMPUS AVANÇADO SÃO MIGUEL DO GUAPORÉ</t>
  </si>
  <si>
    <t>CAMPUS CACOAL</t>
  </si>
  <si>
    <t>CAMPUS COLORADO DO OESTE</t>
  </si>
  <si>
    <t>CAMPUS GUAJARA-MIRIM</t>
  </si>
  <si>
    <t>CAMPUS JARU</t>
  </si>
  <si>
    <t>CAMPUS JI-PARANA</t>
  </si>
  <si>
    <t>CAMPUS PORTO VELHO CALAMA</t>
  </si>
  <si>
    <t>CAMPUS PORTO VELHO ZONA NORTE</t>
  </si>
  <si>
    <t>CAMPUS VILHENA</t>
  </si>
  <si>
    <t>RR</t>
  </si>
  <si>
    <t>INSTITUTO FEDERAL DE RORAIMA</t>
  </si>
  <si>
    <t>CAMPUS AMAJARI</t>
  </si>
  <si>
    <t>CAMPUS AVANCADO BONFIM</t>
  </si>
  <si>
    <t>CAMPUS BOA VISTA</t>
  </si>
  <si>
    <t>CAMPUS BOA VISTA ZONA OESTE</t>
  </si>
  <si>
    <t>CAMPUS NOVO PARAISO</t>
  </si>
  <si>
    <t>RS</t>
  </si>
  <si>
    <t>INSTITUTO FEDERAL DO RIO GRANDE DO SUL</t>
  </si>
  <si>
    <t>CAMPUS ALVORADA</t>
  </si>
  <si>
    <t>CAMPUS AVANCADO VERANOPOLIS</t>
  </si>
  <si>
    <t>CAMPUS BENTO GONCALVES</t>
  </si>
  <si>
    <t>CAMPUS CANOAS</t>
  </si>
  <si>
    <t>CAMPUS CAXIAS DO SUL</t>
  </si>
  <si>
    <t>CAMPUS ERECHIM</t>
  </si>
  <si>
    <t>CAMPUS FARROUPILHA</t>
  </si>
  <si>
    <t>CAMPUS FELIZ</t>
  </si>
  <si>
    <t>CAMPUS IBIRUBA</t>
  </si>
  <si>
    <t>CAMPUS OSORIO</t>
  </si>
  <si>
    <t>CAMPUS PORTO ALEGRE</t>
  </si>
  <si>
    <t>CAMPUS PORTO ALEGRE RESTINGA</t>
  </si>
  <si>
    <t>CAMPUS RIO GRANDE</t>
  </si>
  <si>
    <t>CAMPUS ROLANTE</t>
  </si>
  <si>
    <t>CAMPUS SERTAO</t>
  </si>
  <si>
    <t>CAMPUS VACARIA</t>
  </si>
  <si>
    <t>CAMPUS VIAMAO</t>
  </si>
  <si>
    <t>INSTITUTO FEDERAL FARROUPILHA</t>
  </si>
  <si>
    <t>CAMPUS ALEGRETE</t>
  </si>
  <si>
    <t>CAMPUS AVANCADO URUGUAIANA</t>
  </si>
  <si>
    <t>CAMPUS FREDERICO WESTPHALEN</t>
  </si>
  <si>
    <t>CAMPUS JAGUARI</t>
  </si>
  <si>
    <t>CAMPUS JULIO DE CASTILHOS</t>
  </si>
  <si>
    <t>CAMPUS PANAMBI</t>
  </si>
  <si>
    <t>CAMPUS SANTA ROSA</t>
  </si>
  <si>
    <t>CAMPUS SANTO ANGELO</t>
  </si>
  <si>
    <t>CAMPUS SANTO AUGUSTO</t>
  </si>
  <si>
    <t>CAMPUS SAO BORJA</t>
  </si>
  <si>
    <t>CAMPUS SAO VICENTE DO SUL</t>
  </si>
  <si>
    <t>INSTITUTO FEDERAL SUL-RIO-GRANDENSE</t>
  </si>
  <si>
    <t>CAMPUS AVANCADO JAGUARAO</t>
  </si>
  <si>
    <t>CAMPUS AVANÇADO NOVO HAMBURGO</t>
  </si>
  <si>
    <t>CAMPUS BAGE</t>
  </si>
  <si>
    <t>CAMPUS CAMAQUA</t>
  </si>
  <si>
    <t>CAMPUS CHARQUEADAS</t>
  </si>
  <si>
    <t>CAMPUS GRAVATAI</t>
  </si>
  <si>
    <t>CAMPUS LAJEADO</t>
  </si>
  <si>
    <t>CAMPUS PASSO FUNDO</t>
  </si>
  <si>
    <t>CAMPUS PELOTAS</t>
  </si>
  <si>
    <t>CAMPUS PELOTAS VISCONDE DA GRACA</t>
  </si>
  <si>
    <t>CAMPUS SANTANA DO LIVRAMENTO</t>
  </si>
  <si>
    <t>CAMPUS SAPIRANGA</t>
  </si>
  <si>
    <t>CAMPUS SAPUCAIA DO SUL</t>
  </si>
  <si>
    <t>CAMPUS VENANCIO AIRES</t>
  </si>
  <si>
    <t>CENTRO DE REFERÊNCIA PELOTAS</t>
  </si>
  <si>
    <t>SC</t>
  </si>
  <si>
    <t>INSTITUTO FEDERAL CATARINENSE</t>
  </si>
  <si>
    <t>CAMPUS ARAQUARI</t>
  </si>
  <si>
    <t>CAMPUS AVANCADO ABELARDO LUZ</t>
  </si>
  <si>
    <t>CAMPUS AVANCADO SOMBRIO</t>
  </si>
  <si>
    <t>CAMPUS BLUMENAU</t>
  </si>
  <si>
    <t>CAMPUS BRUSQUE</t>
  </si>
  <si>
    <t>CAMPUS CAMBORIU</t>
  </si>
  <si>
    <t>CAMPUS CONCORDIA</t>
  </si>
  <si>
    <t>CAMPUS FRAIBURGO</t>
  </si>
  <si>
    <t>CAMPUS IBIRAMA</t>
  </si>
  <si>
    <t>CAMPUS LUZERNA</t>
  </si>
  <si>
    <t>CAMPUS RIO DO SUL</t>
  </si>
  <si>
    <t>CAMPUS SANTA ROSA DO SUL</t>
  </si>
  <si>
    <t>CAMPUS SAO BENTO DO SUL</t>
  </si>
  <si>
    <t>CAMPUS SAO FRANCISCO DO SUL</t>
  </si>
  <si>
    <t>CAMPUS VIDEIRA</t>
  </si>
  <si>
    <t>INSTITUTO FEDERAL DE SANTA CATARINA</t>
  </si>
  <si>
    <t>CAMPUS ARARANGUA</t>
  </si>
  <si>
    <t>CAMPUS AVANCADO SAO LOURENCO DO OESTE</t>
  </si>
  <si>
    <t>CAMPUS CACADOR</t>
  </si>
  <si>
    <t>CAMPUS CANOINHAS</t>
  </si>
  <si>
    <t>CAMPUS CHAPECO</t>
  </si>
  <si>
    <t>CAMPUS CRICIUMA</t>
  </si>
  <si>
    <t>CAMPUS FLORIANOPOLIS</t>
  </si>
  <si>
    <t>CAMPUS FLORIANOPOLIS CONTINENTE</t>
  </si>
  <si>
    <t>CAMPUS GAROPABA</t>
  </si>
  <si>
    <t>CAMPUS GASPAR</t>
  </si>
  <si>
    <t>CAMPUS ITAJAI</t>
  </si>
  <si>
    <t>CAMPUS JARAGUA DO SUL</t>
  </si>
  <si>
    <t>CAMPUS JARAGUA DO SUL RAU</t>
  </si>
  <si>
    <t>CAMPUS JOINVILLE</t>
  </si>
  <si>
    <t>CAMPUS LAGES</t>
  </si>
  <si>
    <t>CAMPUS PALHOCA</t>
  </si>
  <si>
    <t>CAMPUS SAO CARLOS</t>
  </si>
  <si>
    <t>CAMPUS SAO JOSE</t>
  </si>
  <si>
    <t>CAMPUS SAO MIGUEL DO OESTE</t>
  </si>
  <si>
    <t>CAMPUS TUBARAO</t>
  </si>
  <si>
    <t>CAMPUS URUPEMA</t>
  </si>
  <si>
    <t>CAMPUS XANXERE</t>
  </si>
  <si>
    <t>CENTRO DE REFERENCIA EM FORMACAO E EDUCACAO A DISTANCIA</t>
  </si>
  <si>
    <t>SE</t>
  </si>
  <si>
    <t>INSTITUTO FEDERAL DE SERGIPE</t>
  </si>
  <si>
    <t>CAMPUS ARACAJU</t>
  </si>
  <si>
    <t>CAMPUS ESTANCIA</t>
  </si>
  <si>
    <t>CAMPUS LAGARTO</t>
  </si>
  <si>
    <t>CAMPUS NOSSA SENHORA DA GLORIA</t>
  </si>
  <si>
    <t>CAMPUS NOSSA SENHORA DO SOCORRO</t>
  </si>
  <si>
    <t>CAMPUS POCO REDONDO</t>
  </si>
  <si>
    <t>CAMPUS PROPRIA</t>
  </si>
  <si>
    <t>CAMPUS SAO CRISTOVAO</t>
  </si>
  <si>
    <t>CAMPUS TOBIAS BARRETO</t>
  </si>
  <si>
    <t>SP</t>
  </si>
  <si>
    <t>INSTITUTO FEDERAL DE SAO PAULO</t>
  </si>
  <si>
    <t>CAMPUS ARARAQUARA</t>
  </si>
  <si>
    <t>CAMPUS AVANCADO ILHA SOLTEIRA</t>
  </si>
  <si>
    <t>CAMPUS AVANÇADO JUNDIAI</t>
  </si>
  <si>
    <t>CAMPUS AVANÇADO SÃO PAULO - SÃO MIGUEL</t>
  </si>
  <si>
    <t>CAMPUS AVANÇADO TUPÃ</t>
  </si>
  <si>
    <t>CAMPUS AVARE</t>
  </si>
  <si>
    <t>CAMPUS BARRETOS</t>
  </si>
  <si>
    <t>CAMPUS BIRIGUI</t>
  </si>
  <si>
    <t>CAMPUS BOITUVA</t>
  </si>
  <si>
    <t>CAMPUS BRAGANCA PAULISTA</t>
  </si>
  <si>
    <t>CAMPUS CAMPINAS</t>
  </si>
  <si>
    <t>CAMPUS CAMPOS DO JORDAO</t>
  </si>
  <si>
    <t>CAMPUS CAPIVARI</t>
  </si>
  <si>
    <t>CAMPUS CARAGUATATUBA</t>
  </si>
  <si>
    <t>CAMPUS CATANDUVA</t>
  </si>
  <si>
    <t>CAMPUS CUBATAO</t>
  </si>
  <si>
    <t>CAMPUS GUARULHOS</t>
  </si>
  <si>
    <t>CAMPUS HORTOLANDIA</t>
  </si>
  <si>
    <t>CAMPUS ITAPETININGA</t>
  </si>
  <si>
    <t>CAMPUS ITAQUAQUECETUBA</t>
  </si>
  <si>
    <t>CAMPUS JACAREI</t>
  </si>
  <si>
    <t>CAMPUS MATAO</t>
  </si>
  <si>
    <t>CAMPUS PIRACICABA</t>
  </si>
  <si>
    <t>CAMPUS PRESIDENTE EPITACIO</t>
  </si>
  <si>
    <t>CAMPUS REGISTRO</t>
  </si>
  <si>
    <t>CAMPUS RIO CLARO</t>
  </si>
  <si>
    <t>CAMPUS SALTO</t>
  </si>
  <si>
    <t>CAMPUS SAO JOAO DA BOA VISTA</t>
  </si>
  <si>
    <t>CAMPUS SÃO JOSÉ DO RIO PRETO</t>
  </si>
  <si>
    <t>CAMPUS SAO JOSE DOS CAMPOS</t>
  </si>
  <si>
    <t>CAMPUS SAO PAULO</t>
  </si>
  <si>
    <t>CAMPUS SAO PAULO PIRITUBA</t>
  </si>
  <si>
    <t>CAMPUS SAO ROQUE</t>
  </si>
  <si>
    <t>CAMPUS SERTAOZINHO</t>
  </si>
  <si>
    <t>CAMPUS SOROCABA</t>
  </si>
  <si>
    <t>CAMPUS SUZANO</t>
  </si>
  <si>
    <t>CAMPUS VOTUPORANGA</t>
  </si>
  <si>
    <t>TO</t>
  </si>
  <si>
    <t>INSTITUTO FEDERAL DE TOCANTINS</t>
  </si>
  <si>
    <t>CAMPUS ARAGUAINA</t>
  </si>
  <si>
    <t>CAMPUS ARAGUATINS</t>
  </si>
  <si>
    <t>CAMPUS AVANCADO FORMOSO DO ARAGUAIA</t>
  </si>
  <si>
    <t>CAMPUS AVANCADO LAGOA DA CONFUSAO</t>
  </si>
  <si>
    <t>CAMPUS AVANCADO PEDRO AFONSO</t>
  </si>
  <si>
    <t>CAMPUS COLINAS DO TOCANTINS</t>
  </si>
  <si>
    <t>CAMPUS DIANOPOLIS</t>
  </si>
  <si>
    <t>CAMPUS GURUPI</t>
  </si>
  <si>
    <t>CAMPUS PARAISO DO TOCANTINS</t>
  </si>
  <si>
    <t>CAMPUS PORTO NACIONAL</t>
  </si>
  <si>
    <t xml:space="preserve">     PROPOSTA MATRIZ ORÇAMENTÁRIA - RESUMO</t>
  </si>
  <si>
    <t>Campus Valor Matrículas</t>
  </si>
  <si>
    <t>Valor IEA Instituição</t>
  </si>
  <si>
    <t>Valor RAP Instituição</t>
  </si>
  <si>
    <t>Valor IAPL Instituição</t>
  </si>
  <si>
    <t>Matriz Custeio</t>
  </si>
  <si>
    <t>Matriz Assistência Estudantil</t>
  </si>
  <si>
    <t>Anuidade CONIF</t>
  </si>
  <si>
    <t>Índice Eficiência Acadêmica - IEA</t>
  </si>
  <si>
    <t>Relação Aluno Professor - RAP</t>
  </si>
  <si>
    <t>Atendimento aos Percentuais Legais - APL</t>
  </si>
  <si>
    <t>id</t>
  </si>
  <si>
    <t>ds_abreviatura</t>
  </si>
  <si>
    <t>Conclusão
Ciclo</t>
  </si>
  <si>
    <t>Evasão
Ciclo</t>
  </si>
  <si>
    <t>Retenção
Ciclo</t>
  </si>
  <si>
    <t>Eficiência 
Acadêmica</t>
  </si>
  <si>
    <t>IEA
Ponderado</t>
  </si>
  <si>
    <t>IEA
Equalizado</t>
  </si>
  <si>
    <t>RAP Presencial
 (PNP 5.6B)</t>
  </si>
  <si>
    <t>MEq-RAP Pres (5.6b PNP)</t>
  </si>
  <si>
    <t>Professor 
Equivalente (5.6B pnp)</t>
  </si>
  <si>
    <t>RAP
Ponderado</t>
  </si>
  <si>
    <t>RAP
Equalizado</t>
  </si>
  <si>
    <t>%ME 
(Cursos Técnicos)</t>
  </si>
  <si>
    <t>IAPL Ponderado 
( Cursos Técnicos)</t>
  </si>
  <si>
    <t>%ME
(Formação de Professores)</t>
  </si>
  <si>
    <t>IAPL Ponderado
(Formação de Professores)</t>
  </si>
  <si>
    <t>%ME
(Proeja)</t>
  </si>
  <si>
    <t>IAPL Ponderado
(Proeja)</t>
  </si>
  <si>
    <t>IAPL 
Equalizado</t>
  </si>
  <si>
    <t>Matrículas
 Equivalentes</t>
  </si>
  <si>
    <t>TOTAIS PARA TODA REDE</t>
  </si>
  <si>
    <t>IFAC</t>
  </si>
  <si>
    <t>IFAL</t>
  </si>
  <si>
    <t>IFAM</t>
  </si>
  <si>
    <t>IFAP</t>
  </si>
  <si>
    <t>IFBAIANO</t>
  </si>
  <si>
    <t>IFBA</t>
  </si>
  <si>
    <t>IFCE</t>
  </si>
  <si>
    <t>IFB</t>
  </si>
  <si>
    <t>IFES</t>
  </si>
  <si>
    <t>IFG</t>
  </si>
  <si>
    <t>IFGOIANO</t>
  </si>
  <si>
    <t>IFMA</t>
  </si>
  <si>
    <t>CEFET-MG</t>
  </si>
  <si>
    <t>IFMG</t>
  </si>
  <si>
    <t>IFNMG</t>
  </si>
  <si>
    <t>IFSUDESTE-MG</t>
  </si>
  <si>
    <t>IFSULDEMINAS</t>
  </si>
  <si>
    <t>IFTM</t>
  </si>
  <si>
    <t>IFMS</t>
  </si>
  <si>
    <t>IFMT</t>
  </si>
  <si>
    <t>IFPA</t>
  </si>
  <si>
    <t>IFPB</t>
  </si>
  <si>
    <t>IFPE</t>
  </si>
  <si>
    <t>IFSERTAO-PE</t>
  </si>
  <si>
    <t>IFPI</t>
  </si>
  <si>
    <t>IFPR</t>
  </si>
  <si>
    <t>CEFET-RJ</t>
  </si>
  <si>
    <t>CPII</t>
  </si>
  <si>
    <t>IFRJ</t>
  </si>
  <si>
    <t>IFF</t>
  </si>
  <si>
    <t>IFRN</t>
  </si>
  <si>
    <t>IFRO</t>
  </si>
  <si>
    <t>IFRR</t>
  </si>
  <si>
    <t>IFRS</t>
  </si>
  <si>
    <t>IFFARROUPILHA</t>
  </si>
  <si>
    <t>IFSUL</t>
  </si>
  <si>
    <t>IFC</t>
  </si>
  <si>
    <t>IFSC</t>
  </si>
  <si>
    <t>IFS</t>
  </si>
  <si>
    <t>IFSP</t>
  </si>
  <si>
    <t>IFTO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</si>
</sst>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[$R$-416]\ #,##0.00;[Red]\-[$R$-416]\ #,##0.00"/>
    <numFmt numFmtId="165" formatCode="0.0000%"/>
    <numFmt numFmtId="166" formatCode="0.0%"/>
    <numFmt numFmtId="167" formatCode="_-* #,##0.0000_-;\-* #,##0.0000_-;_-* &quot;-&quot;????_-;_-@_-"/>
    <numFmt numFmtId="168" formatCode="_-* #,##0.000_-;\-* #,##0.000_-;_-* &quot;-&quot;???_-;_-@_-"/>
    <numFmt numFmtId="169" formatCode="_-* #,##0.000_-"/>
    <numFmt numFmtId="170" formatCode="_-* #,##0.0000_-"/>
    <numFmt numFmtId="171" formatCode="_-* #,##0.00_-"/>
    <numFmt numFmtId="172" formatCode="&quot;R$&quot;#,##0.00"/>
    <numFmt numFmtId="173" formatCode="_-* #,##0.0_-;\-* #,##0.0_-;_-* &quot;-&quot;?_-;_-@_-"/>
    <numFmt numFmtId="174" formatCode="#,##0.00%"/>
  </numFmts>
  <fonts count="18" x14ac:knownFonts="1">
    <font>
      <sz val="11"/>
      <color rgb="FF000000"/>
      <name val="Calibri"/>
    </font>
    <font>
      <sz val="10"/>
      <color rgb="FF000000"/>
      <name val="Open Sans"/>
    </font>
    <font>
      <b/>
      <sz val="10"/>
      <color rgb="FF000000"/>
      <name val="Open Sans"/>
    </font>
    <font>
      <sz val="10"/>
      <color rgb="FFFF0000"/>
      <name val="Open Sans"/>
    </font>
    <font>
      <b/>
      <sz val="20"/>
      <color rgb="FF000000"/>
      <name val="Open Sans"/>
    </font>
    <font>
      <sz val="10"/>
      <color rgb="FFA5A5A5"/>
      <name val="Open Sans"/>
    </font>
    <font>
      <b/>
      <sz val="11"/>
      <color rgb="FF000000"/>
      <name val="Calibri"/>
    </font>
    <font>
      <sz val="10"/>
      <color rgb="FF000000"/>
      <name val="Calibri"/>
    </font>
    <font>
      <sz val="10"/>
      <color rgb="FF4E4447"/>
      <name val="Calibri"/>
    </font>
    <font>
      <sz val="9"/>
      <color rgb="FF0C0C0C"/>
      <name val="Calibri"/>
    </font>
    <font>
      <sz val="8"/>
      <color rgb="FF000000"/>
      <name val="Calibri"/>
    </font>
    <font>
      <sz val="10"/>
      <color rgb="FFBFBFBF"/>
      <name val="Calibri"/>
    </font>
    <font>
      <b/>
      <sz val="12"/>
      <color rgb="FF3F3F3F"/>
      <name val="Calibri"/>
    </font>
    <font>
      <b/>
      <sz val="24"/>
      <color rgb="FF000000"/>
      <name val="Open Sans"/>
    </font>
    <font>
      <b/>
      <sz val="10"/>
      <color rgb="FF3F3F3F"/>
      <name val="Calibri"/>
    </font>
    <font>
      <sz val="11"/>
      <color rgb="FF4E4447"/>
      <name val="Calibri"/>
    </font>
    <font>
      <b/>
      <sz val="9"/>
      <color rgb="FF000000"/>
      <name val="Segoe UI"/>
    </font>
    <font>
      <sz val="9"/>
      <color rgb="FF000000"/>
      <name val="Segoe UI"/>
    </font>
  </fonts>
  <fills count="32">
    <fill>
      <patternFill patternType="none"/>
    </fill>
    <fill>
      <patternFill patternType="gray125"/>
    </fill>
    <fill>
      <patternFill patternType="none"/>
    </fill>
    <fill>
      <patternFill patternType="solid">
        <fgColor rgb="FFF2F2F2"/>
        <bgColor rgb="FFFFFFFF"/>
      </patternFill>
    </fill>
    <fill>
      <patternFill patternType="solid">
        <fgColor rgb="FFFFFF99"/>
        <bgColor rgb="FFFFFFA6"/>
      </patternFill>
    </fill>
    <fill>
      <patternFill patternType="solid">
        <fgColor rgb="FFD8D8D8"/>
        <bgColor rgb="FFDDDDDD"/>
      </patternFill>
    </fill>
    <fill>
      <patternFill patternType="solid">
        <fgColor rgb="FF5983B0"/>
        <bgColor rgb="FF808080"/>
      </patternFill>
    </fill>
    <fill>
      <patternFill patternType="solid">
        <fgColor rgb="FFD6E3BC"/>
        <bgColor rgb="FFDDDDDD"/>
      </patternFill>
    </fill>
    <fill>
      <patternFill patternType="solid">
        <fgColor rgb="FFE5DFEC"/>
        <bgColor rgb="FFDDDDDD"/>
      </patternFill>
    </fill>
    <fill>
      <patternFill patternType="solid">
        <fgColor rgb="FFFFBF00"/>
        <bgColor rgb="FFFF8000"/>
      </patternFill>
    </fill>
    <fill>
      <patternFill patternType="solid">
        <fgColor rgb="FF729FCF"/>
        <bgColor rgb="FF8E86AE"/>
      </patternFill>
    </fill>
    <fill>
      <patternFill patternType="solid">
        <fgColor rgb="FFFF4000"/>
        <bgColor rgb="FFFF0000"/>
      </patternFill>
    </fill>
    <fill>
      <patternFill patternType="solid">
        <fgColor rgb="FF81D41A"/>
        <bgColor rgb="FF92D050"/>
      </patternFill>
    </fill>
    <fill>
      <patternFill patternType="solid">
        <fgColor rgb="FFB2B2B2"/>
        <bgColor rgb="FFA5A5A5"/>
      </patternFill>
    </fill>
    <fill>
      <patternFill patternType="solid">
        <fgColor rgb="FFB6D7A8"/>
        <bgColor rgb="FFBEE3D3"/>
      </patternFill>
    </fill>
    <fill>
      <patternFill patternType="solid">
        <fgColor rgb="FFD8D8D8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FF0000"/>
        <bgColor rgb="FFDDDDDD"/>
      </patternFill>
    </fill>
    <fill>
      <patternFill patternType="solid">
        <fgColor rgb="FFBFBFBF"/>
        <bgColor rgb="FF000000"/>
      </patternFill>
    </fill>
    <fill>
      <patternFill patternType="solid">
        <fgColor rgb="FFFFBF00"/>
        <bgColor rgb="FFFF9900"/>
      </patternFill>
    </fill>
    <fill>
      <patternFill patternType="solid">
        <fgColor rgb="FFFFFF6D"/>
        <bgColor rgb="FFFFF685"/>
      </patternFill>
    </fill>
    <fill>
      <patternFill patternType="solid">
        <fgColor rgb="FFFFE994"/>
        <bgColor rgb="FFFFF685"/>
      </patternFill>
    </fill>
    <fill>
      <patternFill patternType="solid">
        <fgColor rgb="FFFFFFD7"/>
        <bgColor rgb="FFFFFFFF"/>
      </patternFill>
    </fill>
    <fill>
      <patternFill patternType="solid">
        <fgColor rgb="FF999999"/>
        <bgColor rgb="FFA5A5A5"/>
      </patternFill>
    </fill>
    <fill>
      <patternFill patternType="solid">
        <fgColor rgb="FFFFFF00"/>
        <bgColor rgb="FFFFFF6D"/>
      </patternFill>
    </fill>
    <fill>
      <patternFill patternType="solid">
        <fgColor rgb="FFDDDDDD"/>
        <bgColor rgb="FFD8D8D8"/>
      </patternFill>
    </fill>
    <fill>
      <patternFill patternType="solid">
        <fgColor rgb="FF808080"/>
        <bgColor rgb="FF8E86AE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A9CD90"/>
      </top>
      <bottom style="thin">
        <color rgb="FFA9CD9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A9CD90"/>
      </top>
      <bottom style="thin">
        <color rgb="FFA9CD90"/>
      </bottom>
      <diagonal/>
    </border>
    <border>
      <left/>
      <right style="medium">
        <color rgb="FF000000"/>
      </right>
      <top style="thin">
        <color rgb="FFA9CD90"/>
      </top>
      <bottom style="thin">
        <color rgb="FFA9CD9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A9CD90"/>
      </top>
      <bottom/>
      <diagonal/>
    </border>
    <border>
      <left/>
      <right/>
      <top style="thin">
        <color rgb="FFA9CD90"/>
      </top>
      <bottom/>
      <diagonal/>
    </border>
    <border>
      <left/>
      <right style="medium">
        <color rgb="FF000000"/>
      </right>
      <top style="thin">
        <color rgb="FFA9CD9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A9CD90"/>
      </bottom>
      <diagonal/>
    </border>
    <border>
      <left/>
      <right/>
      <top style="medium">
        <color rgb="FF000000"/>
      </top>
      <bottom style="thin">
        <color rgb="FFA9CD90"/>
      </bottom>
      <diagonal/>
    </border>
    <border>
      <left/>
      <right style="medium">
        <color rgb="FF000000"/>
      </right>
      <top style="medium">
        <color rgb="FF000000"/>
      </top>
      <bottom style="thin">
        <color rgb="FFA9CD9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300">
    <xf numFmtId="0" fontId="0" fillId="2" borderId="0" xfId="0" applyFill="1"/>
    <xf numFmtId="0" fontId="1" fillId="3" borderId="0" xfId="0" applyFont="1" applyFill="1"/>
    <xf numFmtId="0" fontId="1" fillId="2" borderId="0" xfId="0" applyFont="1" applyFill="1"/>
    <xf numFmtId="0" fontId="1" fillId="4" borderId="1" xfId="0" applyFont="1" applyFill="1" applyBorder="1"/>
    <xf numFmtId="0" fontId="1" fillId="4" borderId="2" xfId="0" applyFont="1" applyFill="1" applyBorder="1"/>
    <xf numFmtId="0" fontId="1" fillId="5" borderId="1" xfId="0" applyFont="1" applyFill="1" applyBorder="1"/>
    <xf numFmtId="0" fontId="1" fillId="5" borderId="2" xfId="0" applyFont="1" applyFill="1" applyBorder="1"/>
    <xf numFmtId="0" fontId="2" fillId="3" borderId="0" xfId="0" applyFont="1" applyFill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10" fontId="1" fillId="3" borderId="0" xfId="0" applyNumberFormat="1" applyFont="1" applyFill="1"/>
    <xf numFmtId="0" fontId="0" fillId="3" borderId="0" xfId="0" applyFill="1"/>
    <xf numFmtId="0" fontId="2" fillId="3" borderId="5" xfId="0" applyFont="1" applyFill="1" applyBorder="1"/>
    <xf numFmtId="0" fontId="1" fillId="6" borderId="7" xfId="0" applyFont="1" applyFill="1" applyBorder="1" applyAlignment="1">
      <alignment horizontal="center"/>
    </xf>
    <xf numFmtId="0" fontId="1" fillId="3" borderId="8" xfId="0" applyFont="1" applyFill="1" applyBorder="1"/>
    <xf numFmtId="0" fontId="1" fillId="7" borderId="1" xfId="0" applyFont="1" applyFill="1" applyBorder="1"/>
    <xf numFmtId="0" fontId="1" fillId="7" borderId="9" xfId="0" applyFont="1" applyFill="1" applyBorder="1"/>
    <xf numFmtId="0" fontId="1" fillId="7" borderId="2" xfId="0" applyFont="1" applyFill="1" applyBorder="1"/>
    <xf numFmtId="10" fontId="1" fillId="4" borderId="10" xfId="0" applyNumberFormat="1" applyFont="1" applyFill="1" applyBorder="1" applyAlignment="1">
      <alignment horizontal="center"/>
    </xf>
    <xf numFmtId="1" fontId="2" fillId="8" borderId="10" xfId="0" applyNumberFormat="1" applyFont="1" applyFill="1" applyBorder="1" applyAlignment="1">
      <alignment horizontal="right"/>
    </xf>
    <xf numFmtId="10" fontId="1" fillId="9" borderId="10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3" fontId="1" fillId="5" borderId="10" xfId="0" applyNumberFormat="1" applyFont="1" applyFill="1" applyBorder="1" applyAlignment="1">
      <alignment horizontal="center"/>
    </xf>
    <xf numFmtId="0" fontId="3" fillId="3" borderId="0" xfId="0" applyFont="1" applyFill="1"/>
    <xf numFmtId="0" fontId="0" fillId="7" borderId="1" xfId="0" applyFill="1" applyBorder="1"/>
    <xf numFmtId="10" fontId="1" fillId="5" borderId="10" xfId="0" applyNumberFormat="1" applyFont="1" applyFill="1" applyBorder="1" applyAlignment="1">
      <alignment horizontal="center"/>
    </xf>
    <xf numFmtId="0" fontId="1" fillId="3" borderId="11" xfId="0" applyFont="1" applyFill="1" applyBorder="1"/>
    <xf numFmtId="0" fontId="1" fillId="3" borderId="12" xfId="0" applyFont="1" applyFill="1" applyBorder="1"/>
    <xf numFmtId="0" fontId="1" fillId="3" borderId="13" xfId="0" applyFont="1" applyFill="1" applyBorder="1"/>
    <xf numFmtId="4" fontId="1" fillId="3" borderId="0" xfId="0" applyNumberFormat="1" applyFont="1" applyFill="1"/>
    <xf numFmtId="164" fontId="1" fillId="3" borderId="0" xfId="0" applyNumberFormat="1" applyFont="1" applyFill="1"/>
    <xf numFmtId="0" fontId="1" fillId="7" borderId="14" xfId="0" applyFont="1" applyFill="1" applyBorder="1"/>
    <xf numFmtId="0" fontId="1" fillId="7" borderId="15" xfId="0" applyFont="1" applyFill="1" applyBorder="1"/>
    <xf numFmtId="0" fontId="1" fillId="7" borderId="16" xfId="0" applyFont="1" applyFill="1" applyBorder="1"/>
    <xf numFmtId="164" fontId="1" fillId="2" borderId="0" xfId="0" applyNumberFormat="1" applyFont="1" applyFill="1"/>
    <xf numFmtId="4" fontId="1" fillId="2" borderId="0" xfId="0" applyNumberFormat="1" applyFont="1" applyFill="1"/>
    <xf numFmtId="164" fontId="1" fillId="4" borderId="10" xfId="0" applyNumberFormat="1" applyFont="1" applyFill="1" applyBorder="1" applyAlignment="1">
      <alignment horizontal="center"/>
    </xf>
    <xf numFmtId="4" fontId="1" fillId="3" borderId="8" xfId="0" applyNumberFormat="1" applyFont="1" applyFill="1" applyBorder="1"/>
    <xf numFmtId="0" fontId="1" fillId="10" borderId="1" xfId="0" applyFont="1" applyFill="1" applyBorder="1"/>
    <xf numFmtId="0" fontId="1" fillId="10" borderId="9" xfId="0" applyFont="1" applyFill="1" applyBorder="1"/>
    <xf numFmtId="0" fontId="1" fillId="10" borderId="2" xfId="0" applyFont="1" applyFill="1" applyBorder="1"/>
    <xf numFmtId="164" fontId="1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vertical="center"/>
    </xf>
    <xf numFmtId="4" fontId="1" fillId="3" borderId="0" xfId="0" applyNumberFormat="1" applyFont="1" applyFill="1" applyAlignment="1">
      <alignment vertical="center"/>
    </xf>
    <xf numFmtId="4" fontId="1" fillId="5" borderId="10" xfId="0" applyNumberFormat="1" applyFont="1" applyFill="1" applyBorder="1" applyAlignment="1">
      <alignment horizontal="center"/>
    </xf>
    <xf numFmtId="4" fontId="1" fillId="3" borderId="0" xfId="0" applyNumberFormat="1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4" fontId="1" fillId="12" borderId="0" xfId="0" applyNumberFormat="1" applyFont="1" applyFill="1" applyAlignment="1">
      <alignment horizontal="center"/>
    </xf>
    <xf numFmtId="164" fontId="1" fillId="5" borderId="10" xfId="0" applyNumberFormat="1" applyFont="1" applyFill="1" applyBorder="1" applyAlignment="1">
      <alignment horizontal="center"/>
    </xf>
    <xf numFmtId="4" fontId="1" fillId="3" borderId="12" xfId="0" applyNumberFormat="1" applyFont="1" applyFill="1" applyBorder="1"/>
    <xf numFmtId="0" fontId="1" fillId="3" borderId="17" xfId="0" applyFont="1" applyFill="1" applyBorder="1"/>
    <xf numFmtId="0" fontId="2" fillId="3" borderId="18" xfId="0" applyFont="1" applyFill="1" applyBorder="1"/>
    <xf numFmtId="0" fontId="1" fillId="3" borderId="18" xfId="0" applyFont="1" applyFill="1" applyBorder="1"/>
    <xf numFmtId="0" fontId="1" fillId="3" borderId="18" xfId="0" applyFont="1" applyFill="1" applyBorder="1" applyAlignment="1">
      <alignment horizontal="right" wrapText="1"/>
    </xf>
    <xf numFmtId="0" fontId="1" fillId="3" borderId="18" xfId="0" applyFont="1" applyFill="1" applyBorder="1" applyAlignment="1">
      <alignment horizontal="right"/>
    </xf>
    <xf numFmtId="0" fontId="1" fillId="3" borderId="19" xfId="0" applyFont="1" applyFill="1" applyBorder="1"/>
    <xf numFmtId="0" fontId="1" fillId="3" borderId="20" xfId="0" applyFont="1" applyFill="1" applyBorder="1"/>
    <xf numFmtId="10" fontId="1" fillId="5" borderId="10" xfId="0" applyNumberFormat="1" applyFont="1" applyFill="1" applyBorder="1"/>
    <xf numFmtId="3" fontId="1" fillId="5" borderId="10" xfId="0" applyNumberFormat="1" applyFont="1" applyFill="1" applyBorder="1" applyAlignment="1">
      <alignment horizontal="right"/>
    </xf>
    <xf numFmtId="0" fontId="1" fillId="3" borderId="21" xfId="0" applyFont="1" applyFill="1" applyBorder="1"/>
    <xf numFmtId="0" fontId="1" fillId="3" borderId="22" xfId="0" applyFont="1" applyFill="1" applyBorder="1"/>
    <xf numFmtId="0" fontId="1" fillId="3" borderId="23" xfId="0" applyFont="1" applyFill="1" applyBorder="1"/>
    <xf numFmtId="0" fontId="1" fillId="3" borderId="24" xfId="0" applyFont="1" applyFill="1" applyBorder="1"/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right"/>
    </xf>
    <xf numFmtId="0" fontId="5" fillId="3" borderId="0" xfId="0" applyFont="1" applyFill="1"/>
    <xf numFmtId="9" fontId="1" fillId="3" borderId="18" xfId="0" applyNumberFormat="1" applyFont="1" applyFill="1" applyBorder="1"/>
    <xf numFmtId="0" fontId="1" fillId="3" borderId="18" xfId="0" applyFont="1" applyFill="1" applyBorder="1" applyAlignment="1">
      <alignment horizontal="center"/>
    </xf>
    <xf numFmtId="165" fontId="1" fillId="5" borderId="10" xfId="0" applyNumberFormat="1" applyFont="1" applyFill="1" applyBorder="1"/>
    <xf numFmtId="3" fontId="1" fillId="4" borderId="10" xfId="0" applyNumberFormat="1" applyFont="1" applyFill="1" applyBorder="1"/>
    <xf numFmtId="3" fontId="1" fillId="5" borderId="10" xfId="0" applyNumberFormat="1" applyFont="1" applyFill="1" applyBorder="1"/>
    <xf numFmtId="0" fontId="2" fillId="3" borderId="0" xfId="0" applyFont="1" applyFill="1" applyAlignment="1">
      <alignment horizontal="left" wrapText="1"/>
    </xf>
    <xf numFmtId="0" fontId="1" fillId="7" borderId="17" xfId="0" applyFont="1" applyFill="1" applyBorder="1"/>
    <xf numFmtId="0" fontId="1" fillId="7" borderId="18" xfId="0" applyFont="1" applyFill="1" applyBorder="1"/>
    <xf numFmtId="0" fontId="1" fillId="7" borderId="19" xfId="0" applyFont="1" applyFill="1" applyBorder="1"/>
    <xf numFmtId="0" fontId="0" fillId="13" borderId="0" xfId="0" applyFill="1" applyAlignment="1">
      <alignment horizontal="center" vertical="center" wrapText="1"/>
    </xf>
    <xf numFmtId="0" fontId="1" fillId="13" borderId="7" xfId="0" applyFont="1" applyFill="1" applyBorder="1" applyAlignment="1">
      <alignment horizontal="center" wrapText="1"/>
    </xf>
    <xf numFmtId="0" fontId="1" fillId="13" borderId="0" xfId="0" applyFont="1" applyFill="1" applyAlignment="1">
      <alignment horizontal="center" wrapText="1"/>
    </xf>
    <xf numFmtId="10" fontId="1" fillId="14" borderId="10" xfId="0" applyNumberFormat="1" applyFont="1" applyFill="1" applyBorder="1" applyAlignment="1">
      <alignment horizontal="center"/>
    </xf>
    <xf numFmtId="0" fontId="1" fillId="7" borderId="7" xfId="0" applyFont="1" applyFill="1" applyBorder="1"/>
    <xf numFmtId="4" fontId="1" fillId="14" borderId="10" xfId="0" applyNumberFormat="1" applyFont="1" applyFill="1" applyBorder="1" applyAlignment="1">
      <alignment horizontal="center"/>
    </xf>
    <xf numFmtId="43" fontId="0" fillId="2" borderId="0" xfId="0" applyNumberFormat="1" applyFill="1"/>
    <xf numFmtId="166" fontId="0" fillId="2" borderId="0" xfId="0" applyNumberFormat="1" applyFill="1"/>
    <xf numFmtId="10" fontId="0" fillId="2" borderId="0" xfId="0" applyNumberFormat="1" applyFill="1"/>
    <xf numFmtId="167" fontId="0" fillId="2" borderId="0" xfId="0" applyNumberFormat="1" applyFill="1"/>
    <xf numFmtId="168" fontId="0" fillId="2" borderId="0" xfId="0" applyNumberFormat="1" applyFill="1"/>
    <xf numFmtId="0" fontId="0" fillId="15" borderId="0" xfId="0" applyFill="1"/>
    <xf numFmtId="0" fontId="0" fillId="16" borderId="0" xfId="0" applyFill="1"/>
    <xf numFmtId="0" fontId="6" fillId="16" borderId="25" xfId="0" applyFont="1" applyFill="1" applyBorder="1" applyAlignment="1">
      <alignment horizontal="center" wrapText="1"/>
    </xf>
    <xf numFmtId="43" fontId="6" fillId="16" borderId="25" xfId="0" applyNumberFormat="1" applyFont="1" applyFill="1" applyBorder="1"/>
    <xf numFmtId="168" fontId="6" fillId="16" borderId="0" xfId="0" applyNumberFormat="1" applyFont="1" applyFill="1"/>
    <xf numFmtId="0" fontId="6" fillId="16" borderId="25" xfId="0" applyFont="1" applyFill="1" applyBorder="1" applyAlignment="1">
      <alignment wrapText="1"/>
    </xf>
    <xf numFmtId="10" fontId="6" fillId="16" borderId="25" xfId="0" applyNumberFormat="1" applyFont="1" applyFill="1" applyBorder="1" applyAlignment="1">
      <alignment wrapText="1"/>
    </xf>
    <xf numFmtId="167" fontId="6" fillId="16" borderId="25" xfId="0" applyNumberFormat="1" applyFont="1" applyFill="1" applyBorder="1"/>
    <xf numFmtId="0" fontId="6" fillId="16" borderId="25" xfId="0" applyFont="1" applyFill="1" applyBorder="1"/>
    <xf numFmtId="4" fontId="6" fillId="16" borderId="25" xfId="0" applyNumberFormat="1" applyFont="1" applyFill="1" applyBorder="1" applyAlignment="1">
      <alignment wrapText="1"/>
    </xf>
    <xf numFmtId="10" fontId="0" fillId="2" borderId="26" xfId="0" applyNumberFormat="1" applyFill="1" applyBorder="1"/>
    <xf numFmtId="168" fontId="0" fillId="2" borderId="27" xfId="0" applyNumberFormat="1" applyFill="1" applyBorder="1"/>
    <xf numFmtId="10" fontId="0" fillId="2" borderId="28" xfId="0" applyNumberFormat="1" applyFill="1" applyBorder="1"/>
    <xf numFmtId="43" fontId="6" fillId="16" borderId="29" xfId="0" applyNumberFormat="1" applyFont="1" applyFill="1" applyBorder="1"/>
    <xf numFmtId="43" fontId="6" fillId="16" borderId="26" xfId="0" applyNumberFormat="1" applyFont="1" applyFill="1" applyBorder="1"/>
    <xf numFmtId="10" fontId="0" fillId="16" borderId="26" xfId="0" applyNumberFormat="1" applyFill="1" applyBorder="1"/>
    <xf numFmtId="166" fontId="6" fillId="16" borderId="29" xfId="0" applyNumberFormat="1" applyFont="1" applyFill="1" applyBorder="1" applyAlignment="1">
      <alignment wrapText="1"/>
    </xf>
    <xf numFmtId="0" fontId="6" fillId="16" borderId="30" xfId="0" applyFont="1" applyFill="1" applyBorder="1"/>
    <xf numFmtId="4" fontId="6" fillId="16" borderId="29" xfId="0" applyNumberFormat="1" applyFont="1" applyFill="1" applyBorder="1" applyAlignment="1">
      <alignment wrapText="1"/>
    </xf>
    <xf numFmtId="0" fontId="0" fillId="2" borderId="0" xfId="0" applyFill="1" applyAlignment="1">
      <alignment vertical="center"/>
    </xf>
    <xf numFmtId="0" fontId="0" fillId="16" borderId="31" xfId="0" applyFill="1" applyBorder="1"/>
    <xf numFmtId="0" fontId="0" fillId="16" borderId="26" xfId="0" applyFill="1" applyBorder="1"/>
    <xf numFmtId="0" fontId="0" fillId="2" borderId="31" xfId="0" applyFill="1" applyBorder="1"/>
    <xf numFmtId="0" fontId="0" fillId="2" borderId="26" xfId="0" applyFill="1" applyBorder="1"/>
    <xf numFmtId="0" fontId="0" fillId="2" borderId="32" xfId="0" applyFill="1" applyBorder="1"/>
    <xf numFmtId="0" fontId="0" fillId="2" borderId="28" xfId="0" applyFill="1" applyBorder="1"/>
    <xf numFmtId="0" fontId="0" fillId="16" borderId="33" xfId="0" applyFill="1" applyBorder="1" applyAlignment="1">
      <alignment vertical="center"/>
    </xf>
    <xf numFmtId="0" fontId="0" fillId="16" borderId="34" xfId="0" applyFill="1" applyBorder="1" applyAlignment="1">
      <alignment vertical="center"/>
    </xf>
    <xf numFmtId="0" fontId="0" fillId="16" borderId="25" xfId="0" applyFill="1" applyBorder="1" applyAlignment="1">
      <alignment horizontal="center" vertical="center" wrapText="1"/>
    </xf>
    <xf numFmtId="43" fontId="0" fillId="16" borderId="29" xfId="0" applyNumberFormat="1" applyFill="1" applyBorder="1" applyAlignment="1">
      <alignment horizontal="center" vertical="center" wrapText="1"/>
    </xf>
    <xf numFmtId="43" fontId="0" fillId="16" borderId="25" xfId="0" applyNumberFormat="1" applyFill="1" applyBorder="1" applyAlignment="1">
      <alignment horizontal="center" vertical="center"/>
    </xf>
    <xf numFmtId="43" fontId="0" fillId="16" borderId="25" xfId="0" applyNumberFormat="1" applyFill="1" applyBorder="1" applyAlignment="1">
      <alignment horizontal="center" vertical="center" wrapText="1"/>
    </xf>
    <xf numFmtId="168" fontId="0" fillId="16" borderId="0" xfId="0" applyNumberFormat="1" applyFill="1" applyAlignment="1">
      <alignment horizontal="center" vertical="center" wrapText="1"/>
    </xf>
    <xf numFmtId="43" fontId="0" fillId="16" borderId="26" xfId="0" applyNumberFormat="1" applyFill="1" applyBorder="1" applyAlignment="1">
      <alignment horizontal="center" vertical="center" wrapText="1"/>
    </xf>
    <xf numFmtId="166" fontId="0" fillId="16" borderId="29" xfId="0" applyNumberFormat="1" applyFill="1" applyBorder="1" applyAlignment="1">
      <alignment horizontal="center" vertical="center" wrapText="1"/>
    </xf>
    <xf numFmtId="10" fontId="0" fillId="16" borderId="25" xfId="0" applyNumberFormat="1" applyFill="1" applyBorder="1" applyAlignment="1">
      <alignment horizontal="center" vertical="center" wrapText="1"/>
    </xf>
    <xf numFmtId="167" fontId="0" fillId="16" borderId="25" xfId="0" applyNumberFormat="1" applyFill="1" applyBorder="1" applyAlignment="1">
      <alignment horizontal="center" vertical="center" wrapText="1"/>
    </xf>
    <xf numFmtId="0" fontId="0" fillId="16" borderId="30" xfId="0" applyFill="1" applyBorder="1" applyAlignment="1">
      <alignment horizontal="center" vertical="center" wrapText="1"/>
    </xf>
    <xf numFmtId="0" fontId="0" fillId="3" borderId="31" xfId="0" applyFill="1" applyBorder="1"/>
    <xf numFmtId="0" fontId="0" fillId="3" borderId="26" xfId="0" applyFill="1" applyBorder="1"/>
    <xf numFmtId="0" fontId="6" fillId="3" borderId="25" xfId="0" applyFont="1" applyFill="1" applyBorder="1" applyAlignment="1">
      <alignment horizontal="center" wrapText="1"/>
    </xf>
    <xf numFmtId="43" fontId="6" fillId="3" borderId="29" xfId="0" applyNumberFormat="1" applyFont="1" applyFill="1" applyBorder="1"/>
    <xf numFmtId="43" fontId="6" fillId="3" borderId="25" xfId="0" applyNumberFormat="1" applyFont="1" applyFill="1" applyBorder="1"/>
    <xf numFmtId="168" fontId="6" fillId="3" borderId="0" xfId="0" applyNumberFormat="1" applyFont="1" applyFill="1"/>
    <xf numFmtId="43" fontId="6" fillId="3" borderId="26" xfId="0" applyNumberFormat="1" applyFont="1" applyFill="1" applyBorder="1"/>
    <xf numFmtId="166" fontId="6" fillId="3" borderId="29" xfId="0" applyNumberFormat="1" applyFont="1" applyFill="1" applyBorder="1" applyAlignment="1">
      <alignment wrapText="1"/>
    </xf>
    <xf numFmtId="0" fontId="6" fillId="3" borderId="25" xfId="0" applyFont="1" applyFill="1" applyBorder="1" applyAlignment="1">
      <alignment wrapText="1"/>
    </xf>
    <xf numFmtId="10" fontId="6" fillId="3" borderId="25" xfId="0" applyNumberFormat="1" applyFont="1" applyFill="1" applyBorder="1" applyAlignment="1">
      <alignment wrapText="1"/>
    </xf>
    <xf numFmtId="167" fontId="6" fillId="3" borderId="25" xfId="0" applyNumberFormat="1" applyFont="1" applyFill="1" applyBorder="1"/>
    <xf numFmtId="0" fontId="6" fillId="3" borderId="25" xfId="0" applyFont="1" applyFill="1" applyBorder="1"/>
    <xf numFmtId="0" fontId="6" fillId="3" borderId="30" xfId="0" applyFont="1" applyFill="1" applyBorder="1"/>
    <xf numFmtId="167" fontId="0" fillId="3" borderId="0" xfId="0" applyNumberFormat="1" applyFill="1"/>
    <xf numFmtId="166" fontId="6" fillId="3" borderId="35" xfId="0" applyNumberFormat="1" applyFont="1" applyFill="1" applyBorder="1" applyAlignment="1">
      <alignment wrapText="1"/>
    </xf>
    <xf numFmtId="0" fontId="6" fillId="3" borderId="36" xfId="0" applyFont="1" applyFill="1" applyBorder="1" applyAlignment="1">
      <alignment wrapText="1"/>
    </xf>
    <xf numFmtId="10" fontId="6" fillId="3" borderId="36" xfId="0" applyNumberFormat="1" applyFont="1" applyFill="1" applyBorder="1" applyAlignment="1">
      <alignment wrapText="1"/>
    </xf>
    <xf numFmtId="167" fontId="6" fillId="3" borderId="36" xfId="0" applyNumberFormat="1" applyFont="1" applyFill="1" applyBorder="1"/>
    <xf numFmtId="0" fontId="6" fillId="3" borderId="36" xfId="0" applyFont="1" applyFill="1" applyBorder="1"/>
    <xf numFmtId="0" fontId="6" fillId="3" borderId="37" xfId="0" applyFont="1" applyFill="1" applyBorder="1"/>
    <xf numFmtId="43" fontId="0" fillId="3" borderId="0" xfId="0" applyNumberFormat="1" applyFill="1"/>
    <xf numFmtId="168" fontId="0" fillId="3" borderId="0" xfId="0" applyNumberFormat="1" applyFill="1"/>
    <xf numFmtId="166" fontId="0" fillId="3" borderId="0" xfId="0" applyNumberFormat="1" applyFill="1"/>
    <xf numFmtId="10" fontId="0" fillId="3" borderId="0" xfId="0" applyNumberFormat="1" applyFill="1"/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6" fillId="3" borderId="36" xfId="0" applyFont="1" applyFill="1" applyBorder="1" applyAlignment="1">
      <alignment horizontal="center" wrapText="1"/>
    </xf>
    <xf numFmtId="43" fontId="6" fillId="3" borderId="35" xfId="0" applyNumberFormat="1" applyFont="1" applyFill="1" applyBorder="1"/>
    <xf numFmtId="43" fontId="6" fillId="3" borderId="36" xfId="0" applyNumberFormat="1" applyFont="1" applyFill="1" applyBorder="1"/>
    <xf numFmtId="166" fontId="0" fillId="2" borderId="31" xfId="0" applyNumberFormat="1" applyFill="1" applyBorder="1"/>
    <xf numFmtId="166" fontId="0" fillId="2" borderId="32" xfId="0" applyNumberFormat="1" applyFill="1" applyBorder="1"/>
    <xf numFmtId="167" fontId="0" fillId="2" borderId="27" xfId="0" applyNumberFormat="1" applyFill="1" applyBorder="1"/>
    <xf numFmtId="10" fontId="0" fillId="2" borderId="27" xfId="0" applyNumberFormat="1" applyFill="1" applyBorder="1"/>
    <xf numFmtId="43" fontId="0" fillId="2" borderId="31" xfId="0" applyNumberFormat="1" applyFill="1" applyBorder="1"/>
    <xf numFmtId="43" fontId="0" fillId="2" borderId="32" xfId="0" applyNumberFormat="1" applyFill="1" applyBorder="1"/>
    <xf numFmtId="43" fontId="0" fillId="2" borderId="27" xfId="0" applyNumberFormat="1" applyFill="1" applyBorder="1"/>
    <xf numFmtId="4" fontId="1" fillId="17" borderId="10" xfId="0" applyNumberFormat="1" applyFont="1" applyFill="1" applyBorder="1" applyAlignment="1">
      <alignment horizontal="center"/>
    </xf>
    <xf numFmtId="0" fontId="1" fillId="5" borderId="10" xfId="0" applyFont="1" applyFill="1" applyBorder="1"/>
    <xf numFmtId="0" fontId="2" fillId="8" borderId="10" xfId="0" applyFont="1" applyFill="1" applyBorder="1" applyAlignment="1">
      <alignment horizontal="right"/>
    </xf>
    <xf numFmtId="0" fontId="1" fillId="5" borderId="10" xfId="0" applyFont="1" applyFill="1" applyBorder="1" applyAlignment="1">
      <alignment horizontal="center"/>
    </xf>
    <xf numFmtId="0" fontId="1" fillId="7" borderId="10" xfId="0" applyFont="1" applyFill="1" applyBorder="1"/>
    <xf numFmtId="0" fontId="1" fillId="7" borderId="10" xfId="0" applyFont="1" applyFill="1" applyBorder="1" applyAlignment="1">
      <alignment horizontal="left"/>
    </xf>
    <xf numFmtId="0" fontId="0" fillId="16" borderId="29" xfId="0" applyFill="1" applyBorder="1" applyAlignment="1">
      <alignment horizontal="center" vertical="center" wrapText="1"/>
    </xf>
    <xf numFmtId="0" fontId="0" fillId="16" borderId="0" xfId="0" applyFill="1" applyAlignment="1">
      <alignment horizontal="center" vertical="center" wrapText="1"/>
    </xf>
    <xf numFmtId="0" fontId="0" fillId="16" borderId="26" xfId="0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0" fontId="6" fillId="3" borderId="26" xfId="0" applyFont="1" applyFill="1" applyBorder="1" applyAlignment="1">
      <alignment horizontal="center" wrapText="1"/>
    </xf>
    <xf numFmtId="0" fontId="6" fillId="16" borderId="29" xfId="0" applyFont="1" applyFill="1" applyBorder="1" applyAlignment="1">
      <alignment horizontal="center" wrapText="1"/>
    </xf>
    <xf numFmtId="0" fontId="6" fillId="16" borderId="0" xfId="0" applyFont="1" applyFill="1" applyAlignment="1">
      <alignment horizontal="center" wrapText="1"/>
    </xf>
    <xf numFmtId="0" fontId="6" fillId="16" borderId="26" xfId="0" applyFont="1" applyFill="1" applyBorder="1" applyAlignment="1">
      <alignment horizontal="center" wrapText="1"/>
    </xf>
    <xf numFmtId="168" fontId="6" fillId="16" borderId="0" xfId="0" applyNumberFormat="1" applyFont="1" applyFill="1" applyAlignment="1">
      <alignment horizontal="center" wrapText="1"/>
    </xf>
    <xf numFmtId="168" fontId="6" fillId="16" borderId="26" xfId="0" applyNumberFormat="1" applyFont="1" applyFill="1" applyBorder="1" applyAlignment="1">
      <alignment horizontal="center" wrapText="1"/>
    </xf>
    <xf numFmtId="0" fontId="6" fillId="3" borderId="35" xfId="0" applyFont="1" applyFill="1" applyBorder="1" applyAlignment="1">
      <alignment horizontal="center" wrapText="1"/>
    </xf>
    <xf numFmtId="10" fontId="0" fillId="2" borderId="31" xfId="0" applyNumberFormat="1" applyFill="1" applyBorder="1"/>
    <xf numFmtId="10" fontId="0" fillId="2" borderId="32" xfId="0" applyNumberFormat="1" applyFill="1" applyBorder="1"/>
    <xf numFmtId="0" fontId="7" fillId="2" borderId="0" xfId="0" applyFont="1" applyFill="1"/>
    <xf numFmtId="0" fontId="8" fillId="2" borderId="0" xfId="0" applyFont="1" applyFill="1"/>
    <xf numFmtId="169" fontId="7" fillId="2" borderId="0" xfId="0" applyNumberFormat="1" applyFont="1" applyFill="1"/>
    <xf numFmtId="170" fontId="7" fillId="2" borderId="0" xfId="0" applyNumberFormat="1" applyFont="1" applyFill="1"/>
    <xf numFmtId="171" fontId="7" fillId="2" borderId="0" xfId="0" applyNumberFormat="1" applyFont="1" applyFill="1"/>
    <xf numFmtId="170" fontId="8" fillId="2" borderId="0" xfId="0" applyNumberFormat="1" applyFont="1" applyFill="1"/>
    <xf numFmtId="169" fontId="8" fillId="2" borderId="0" xfId="0" applyNumberFormat="1" applyFont="1" applyFill="1"/>
    <xf numFmtId="0" fontId="9" fillId="16" borderId="0" xfId="0" applyFont="1" applyFill="1"/>
    <xf numFmtId="170" fontId="9" fillId="16" borderId="0" xfId="0" applyNumberFormat="1" applyFont="1" applyFill="1"/>
    <xf numFmtId="170" fontId="9" fillId="18" borderId="0" xfId="0" applyNumberFormat="1" applyFont="1" applyFill="1"/>
    <xf numFmtId="169" fontId="9" fillId="18" borderId="0" xfId="0" applyNumberFormat="1" applyFont="1" applyFill="1"/>
    <xf numFmtId="171" fontId="9" fillId="16" borderId="0" xfId="0" applyNumberFormat="1" applyFont="1" applyFill="1"/>
    <xf numFmtId="0" fontId="10" fillId="16" borderId="0" xfId="0" applyFont="1" applyFill="1" applyAlignment="1">
      <alignment horizontal="center" vertical="center" wrapText="1"/>
    </xf>
    <xf numFmtId="0" fontId="10" fillId="16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170" fontId="0" fillId="2" borderId="0" xfId="0" applyNumberFormat="1" applyFill="1"/>
    <xf numFmtId="167" fontId="0" fillId="16" borderId="0" xfId="0" applyNumberFormat="1" applyFill="1"/>
    <xf numFmtId="43" fontId="0" fillId="16" borderId="0" xfId="0" applyNumberFormat="1" applyFill="1"/>
    <xf numFmtId="0" fontId="12" fillId="2" borderId="0" xfId="0" applyFont="1" applyFill="1" applyAlignment="1">
      <alignment vertical="center"/>
    </xf>
    <xf numFmtId="164" fontId="1" fillId="19" borderId="10" xfId="0" applyNumberFormat="1" applyFont="1" applyFill="1" applyBorder="1" applyAlignment="1">
      <alignment horizontal="center"/>
    </xf>
    <xf numFmtId="172" fontId="1" fillId="17" borderId="10" xfId="0" applyNumberFormat="1" applyFont="1" applyFill="1" applyBorder="1" applyAlignment="1">
      <alignment horizontal="center" vertical="center"/>
    </xf>
    <xf numFmtId="43" fontId="1" fillId="5" borderId="10" xfId="0" applyNumberFormat="1" applyFont="1" applyFill="1" applyBorder="1" applyAlignment="1">
      <alignment horizontal="center"/>
    </xf>
    <xf numFmtId="10" fontId="1" fillId="14" borderId="1" xfId="0" applyNumberFormat="1" applyFont="1" applyFill="1" applyBorder="1" applyAlignment="1">
      <alignment horizontal="center"/>
    </xf>
    <xf numFmtId="172" fontId="1" fillId="20" borderId="10" xfId="0" applyNumberFormat="1" applyFont="1" applyFill="1" applyBorder="1"/>
    <xf numFmtId="0" fontId="8" fillId="18" borderId="0" xfId="0" applyFont="1" applyFill="1"/>
    <xf numFmtId="169" fontId="7" fillId="18" borderId="0" xfId="0" applyNumberFormat="1" applyFont="1" applyFill="1"/>
    <xf numFmtId="0" fontId="7" fillId="18" borderId="0" xfId="0" applyFont="1" applyFill="1"/>
    <xf numFmtId="170" fontId="7" fillId="18" borderId="0" xfId="0" applyNumberFormat="1" applyFont="1" applyFill="1"/>
    <xf numFmtId="170" fontId="8" fillId="18" borderId="0" xfId="0" applyNumberFormat="1" applyFont="1" applyFill="1"/>
    <xf numFmtId="171" fontId="7" fillId="18" borderId="0" xfId="0" applyNumberFormat="1" applyFont="1" applyFill="1"/>
    <xf numFmtId="169" fontId="8" fillId="18" borderId="0" xfId="0" applyNumberFormat="1" applyFont="1" applyFill="1"/>
    <xf numFmtId="0" fontId="8" fillId="28" borderId="0" xfId="0" applyFont="1" applyFill="1"/>
    <xf numFmtId="169" fontId="7" fillId="28" borderId="0" xfId="0" applyNumberFormat="1" applyFont="1" applyFill="1"/>
    <xf numFmtId="0" fontId="7" fillId="28" borderId="0" xfId="0" applyFont="1" applyFill="1"/>
    <xf numFmtId="170" fontId="7" fillId="28" borderId="0" xfId="0" applyNumberFormat="1" applyFont="1" applyFill="1"/>
    <xf numFmtId="170" fontId="8" fillId="28" borderId="0" xfId="0" applyNumberFormat="1" applyFont="1" applyFill="1"/>
    <xf numFmtId="171" fontId="7" fillId="28" borderId="0" xfId="0" applyNumberFormat="1" applyFont="1" applyFill="1"/>
    <xf numFmtId="169" fontId="8" fillId="28" borderId="0" xfId="0" applyNumberFormat="1" applyFont="1" applyFill="1"/>
    <xf numFmtId="0" fontId="8" fillId="29" borderId="0" xfId="0" applyFont="1" applyFill="1"/>
    <xf numFmtId="169" fontId="7" fillId="29" borderId="0" xfId="0" applyNumberFormat="1" applyFont="1" applyFill="1"/>
    <xf numFmtId="0" fontId="7" fillId="29" borderId="0" xfId="0" applyFont="1" applyFill="1"/>
    <xf numFmtId="170" fontId="7" fillId="29" borderId="0" xfId="0" applyNumberFormat="1" applyFont="1" applyFill="1"/>
    <xf numFmtId="170" fontId="8" fillId="29" borderId="0" xfId="0" applyNumberFormat="1" applyFont="1" applyFill="1"/>
    <xf numFmtId="171" fontId="7" fillId="29" borderId="0" xfId="0" applyNumberFormat="1" applyFont="1" applyFill="1"/>
    <xf numFmtId="169" fontId="8" fillId="29" borderId="0" xfId="0" applyNumberFormat="1" applyFont="1" applyFill="1"/>
    <xf numFmtId="0" fontId="15" fillId="2" borderId="0" xfId="0" applyFont="1" applyFill="1"/>
    <xf numFmtId="0" fontId="15" fillId="18" borderId="0" xfId="0" applyFont="1" applyFill="1"/>
    <xf numFmtId="0" fontId="0" fillId="18" borderId="0" xfId="0" applyFill="1"/>
    <xf numFmtId="0" fontId="15" fillId="28" borderId="0" xfId="0" applyFont="1" applyFill="1"/>
    <xf numFmtId="0" fontId="0" fillId="28" borderId="0" xfId="0" applyFill="1"/>
    <xf numFmtId="0" fontId="15" fillId="29" borderId="0" xfId="0" applyFont="1" applyFill="1"/>
    <xf numFmtId="0" fontId="0" fillId="29" borderId="0" xfId="0" applyFill="1"/>
    <xf numFmtId="170" fontId="0" fillId="29" borderId="0" xfId="0" applyNumberFormat="1" applyFill="1"/>
    <xf numFmtId="170" fontId="0" fillId="18" borderId="0" xfId="0" applyNumberFormat="1" applyFill="1"/>
    <xf numFmtId="170" fontId="0" fillId="28" borderId="0" xfId="0" applyNumberFormat="1" applyFill="1"/>
    <xf numFmtId="174" fontId="0" fillId="2" borderId="0" xfId="0" applyNumberFormat="1" applyFill="1"/>
    <xf numFmtId="174" fontId="0" fillId="18" borderId="0" xfId="0" applyNumberFormat="1" applyFill="1"/>
    <xf numFmtId="174" fontId="0" fillId="28" borderId="0" xfId="0" applyNumberFormat="1" applyFill="1"/>
    <xf numFmtId="174" fontId="0" fillId="29" borderId="0" xfId="0" applyNumberFormat="1" applyFill="1"/>
    <xf numFmtId="0" fontId="7" fillId="30" borderId="0" xfId="0" applyFont="1" applyFill="1"/>
    <xf numFmtId="0" fontId="8" fillId="31" borderId="0" xfId="0" applyFont="1" applyFill="1"/>
    <xf numFmtId="169" fontId="7" fillId="31" borderId="0" xfId="0" applyNumberFormat="1" applyFont="1" applyFill="1"/>
    <xf numFmtId="0" fontId="7" fillId="31" borderId="0" xfId="0" applyFont="1" applyFill="1"/>
    <xf numFmtId="170" fontId="7" fillId="31" borderId="0" xfId="0" applyNumberFormat="1" applyFont="1" applyFill="1"/>
    <xf numFmtId="170" fontId="8" fillId="31" borderId="0" xfId="0" applyNumberFormat="1" applyFont="1" applyFill="1"/>
    <xf numFmtId="171" fontId="7" fillId="31" borderId="0" xfId="0" applyNumberFormat="1" applyFont="1" applyFill="1"/>
    <xf numFmtId="169" fontId="8" fillId="31" borderId="0" xfId="0" applyNumberFormat="1" applyFont="1" applyFill="1"/>
    <xf numFmtId="171" fontId="7" fillId="30" borderId="0" xfId="0" applyNumberFormat="1" applyFont="1" applyFill="1"/>
    <xf numFmtId="0" fontId="0" fillId="30" borderId="0" xfId="0" applyFill="1"/>
    <xf numFmtId="0" fontId="1" fillId="7" borderId="10" xfId="0" applyFont="1" applyFill="1" applyBorder="1" applyAlignment="1">
      <alignment horizontal="left"/>
    </xf>
    <xf numFmtId="0" fontId="1" fillId="14" borderId="10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left"/>
    </xf>
    <xf numFmtId="10" fontId="2" fillId="21" borderId="10" xfId="0" applyNumberFormat="1" applyFont="1" applyFill="1" applyBorder="1" applyAlignment="1">
      <alignment horizontal="center"/>
    </xf>
    <xf numFmtId="164" fontId="1" fillId="5" borderId="10" xfId="0" applyNumberFormat="1" applyFont="1" applyFill="1" applyBorder="1" applyAlignment="1">
      <alignment horizontal="center"/>
    </xf>
    <xf numFmtId="0" fontId="1" fillId="13" borderId="7" xfId="0" applyFont="1" applyFill="1" applyBorder="1" applyAlignment="1">
      <alignment horizontal="center"/>
    </xf>
    <xf numFmtId="0" fontId="1" fillId="13" borderId="7" xfId="0" applyFont="1" applyFill="1" applyBorder="1" applyAlignment="1">
      <alignment horizontal="center" vertical="center" wrapText="1"/>
    </xf>
    <xf numFmtId="0" fontId="0" fillId="13" borderId="0" xfId="0" applyFill="1" applyAlignment="1">
      <alignment horizontal="center" vertical="center" wrapText="1"/>
    </xf>
    <xf numFmtId="173" fontId="1" fillId="22" borderId="10" xfId="0" applyNumberFormat="1" applyFont="1" applyFill="1" applyBorder="1" applyAlignment="1">
      <alignment horizontal="center" vertical="center"/>
    </xf>
    <xf numFmtId="173" fontId="1" fillId="22" borderId="38" xfId="0" applyNumberFormat="1" applyFont="1" applyFill="1" applyBorder="1" applyAlignment="1">
      <alignment horizontal="center" vertical="center"/>
    </xf>
    <xf numFmtId="0" fontId="1" fillId="13" borderId="7" xfId="0" applyFont="1" applyFill="1" applyBorder="1" applyAlignment="1">
      <alignment horizontal="center" vertical="center"/>
    </xf>
    <xf numFmtId="10" fontId="2" fillId="5" borderId="10" xfId="0" applyNumberFormat="1" applyFont="1" applyFill="1" applyBorder="1" applyAlignment="1">
      <alignment horizontal="center"/>
    </xf>
    <xf numFmtId="172" fontId="1" fillId="23" borderId="7" xfId="0" applyNumberFormat="1" applyFont="1" applyFill="1" applyBorder="1" applyAlignment="1">
      <alignment horizontal="center"/>
    </xf>
    <xf numFmtId="164" fontId="1" fillId="24" borderId="7" xfId="0" applyNumberFormat="1" applyFont="1" applyFill="1" applyBorder="1" applyAlignment="1">
      <alignment horizontal="center"/>
    </xf>
    <xf numFmtId="0" fontId="1" fillId="10" borderId="7" xfId="0" applyFont="1" applyFill="1" applyBorder="1" applyAlignment="1">
      <alignment horizontal="center"/>
    </xf>
    <xf numFmtId="0" fontId="1" fillId="25" borderId="7" xfId="0" applyFont="1" applyFill="1" applyBorder="1" applyAlignment="1">
      <alignment horizontal="center"/>
    </xf>
    <xf numFmtId="164" fontId="1" fillId="25" borderId="7" xfId="0" applyNumberFormat="1" applyFont="1" applyFill="1" applyBorder="1" applyAlignment="1">
      <alignment horizontal="center"/>
    </xf>
    <xf numFmtId="164" fontId="1" fillId="23" borderId="7" xfId="0" applyNumberFormat="1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/>
    </xf>
    <xf numFmtId="172" fontId="1" fillId="23" borderId="7" xfId="0" applyNumberFormat="1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left" vertical="center"/>
    </xf>
    <xf numFmtId="164" fontId="2" fillId="25" borderId="7" xfId="0" applyNumberFormat="1" applyFont="1" applyFill="1" applyBorder="1" applyAlignment="1">
      <alignment horizontal="center"/>
    </xf>
    <xf numFmtId="164" fontId="2" fillId="26" borderId="7" xfId="0" applyNumberFormat="1" applyFont="1" applyFill="1" applyBorder="1" applyAlignment="1">
      <alignment horizontal="center"/>
    </xf>
    <xf numFmtId="10" fontId="2" fillId="23" borderId="7" xfId="0" applyNumberFormat="1" applyFont="1" applyFill="1" applyBorder="1" applyAlignment="1">
      <alignment horizontal="center"/>
    </xf>
    <xf numFmtId="0" fontId="13" fillId="27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12" fillId="16" borderId="0" xfId="0" applyFont="1" applyFill="1" applyAlignment="1">
      <alignment horizontal="left" vertical="center"/>
    </xf>
    <xf numFmtId="0" fontId="10" fillId="16" borderId="0" xfId="0" applyFont="1" applyFill="1" applyAlignment="1">
      <alignment horizontal="center" vertical="center" wrapText="1"/>
    </xf>
    <xf numFmtId="0" fontId="12" fillId="16" borderId="0" xfId="0" applyFont="1" applyFill="1" applyAlignment="1">
      <alignment horizontal="center" vertical="center"/>
    </xf>
    <xf numFmtId="0" fontId="12" fillId="16" borderId="0" xfId="0" applyFont="1" applyFill="1" applyAlignment="1">
      <alignment horizontal="center"/>
    </xf>
    <xf numFmtId="0" fontId="14" fillId="16" borderId="0" xfId="0" applyFont="1" applyFill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16" borderId="39" xfId="0" applyFill="1" applyBorder="1" applyAlignment="1">
      <alignment horizontal="center"/>
    </xf>
    <xf numFmtId="0" fontId="0" fillId="16" borderId="40" xfId="0" applyFill="1" applyBorder="1" applyAlignment="1">
      <alignment horizontal="center"/>
    </xf>
    <xf numFmtId="0" fontId="0" fillId="16" borderId="41" xfId="0" applyFill="1" applyBorder="1" applyAlignment="1">
      <alignment horizontal="center"/>
    </xf>
    <xf numFmtId="0" fontId="0" fillId="16" borderId="33" xfId="0" applyFill="1" applyBorder="1" applyAlignment="1">
      <alignment horizontal="center"/>
    </xf>
    <xf numFmtId="0" fontId="0" fillId="16" borderId="42" xfId="0" applyFill="1" applyBorder="1" applyAlignment="1">
      <alignment horizontal="center"/>
    </xf>
    <xf numFmtId="0" fontId="0" fillId="16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352425</xdr:colOff>
      <xdr:row>1</xdr:row>
      <xdr:rowOff>76200</xdr:rowOff>
    </xdr:from>
    <xdr:ext cx="1905000" cy="100012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40"/>
  <sheetViews>
    <sheetView topLeftCell="A115" zoomScale="90" zoomScaleNormal="90" workbookViewId="0">
      <selection activeCell="M25" sqref="M25"/>
    </sheetView>
  </sheetViews>
  <sheetFormatPr defaultColWidth="14.5546875" defaultRowHeight="14.4" x14ac:dyDescent="0.3"/>
  <cols>
    <col min="1" max="1" width="2.33203125" customWidth="1"/>
    <col min="2" max="2" width="2" customWidth="1"/>
    <col min="3" max="4" width="8.6640625" customWidth="1"/>
    <col min="5" max="5" width="9.5546875" customWidth="1"/>
    <col min="6" max="6" width="2.109375" customWidth="1"/>
    <col min="7" max="8" width="18.33203125" customWidth="1"/>
    <col min="9" max="9" width="25" customWidth="1"/>
    <col min="10" max="10" width="2.33203125" customWidth="1"/>
    <col min="11" max="11" width="11.88671875" customWidth="1"/>
    <col min="12" max="12" width="2.33203125" customWidth="1"/>
    <col min="13" max="13" width="26.6640625" customWidth="1"/>
    <col min="14" max="14" width="2.33203125" customWidth="1"/>
    <col min="15" max="15" width="2" customWidth="1"/>
    <col min="16" max="16" width="2.109375" customWidth="1"/>
    <col min="17" max="17" width="29.44140625" customWidth="1"/>
    <col min="18" max="20" width="2.33203125" customWidth="1"/>
    <col min="21" max="21" width="29" customWidth="1"/>
    <col min="22" max="22" width="2.44140625" customWidth="1"/>
    <col min="23" max="23" width="2" customWidth="1"/>
    <col min="24" max="24" width="1.88671875" customWidth="1"/>
    <col min="25" max="25" width="1.44140625" customWidth="1"/>
    <col min="26" max="26" width="25.44140625" customWidth="1"/>
    <col min="27" max="27" width="2.44140625" customWidth="1"/>
    <col min="28" max="28" width="2" customWidth="1"/>
    <col min="29" max="29" width="1.88671875" customWidth="1"/>
    <col min="30" max="30" width="25.44140625" customWidth="1"/>
    <col min="31" max="31" width="1.44140625" customWidth="1"/>
    <col min="32" max="32" width="1.5546875" customWidth="1"/>
    <col min="33" max="33" width="2.5546875" customWidth="1"/>
    <col min="34" max="34" width="8.6640625" customWidth="1"/>
    <col min="35" max="35" width="24.5546875" customWidth="1"/>
    <col min="36" max="36" width="21.6640625" customWidth="1"/>
    <col min="37" max="37" width="8.6640625" customWidth="1"/>
  </cols>
  <sheetData>
    <row r="1" spans="1:37" ht="12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"/>
      <c r="AI1" s="2"/>
      <c r="AJ1" s="2"/>
      <c r="AK1" s="2"/>
    </row>
    <row r="2" spans="1:37" ht="32.25" customHeight="1" x14ac:dyDescent="0.3">
      <c r="A2" s="1"/>
      <c r="B2" s="278" t="s">
        <v>0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1"/>
      <c r="AH2" s="2"/>
      <c r="AI2" s="2"/>
      <c r="AJ2" s="2"/>
      <c r="AK2" s="2"/>
    </row>
    <row r="3" spans="1:37" ht="32.25" customHeight="1" x14ac:dyDescent="0.3">
      <c r="A3" s="1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1"/>
      <c r="AH3" s="2"/>
      <c r="AI3" s="2"/>
      <c r="AJ3" s="2"/>
      <c r="AK3" s="2"/>
    </row>
    <row r="4" spans="1:37" ht="32.25" customHeight="1" x14ac:dyDescent="0.3">
      <c r="A4" s="1"/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  <c r="AD4" s="278"/>
      <c r="AE4" s="278"/>
      <c r="AF4" s="278"/>
      <c r="AG4" s="1"/>
      <c r="AH4" s="2"/>
      <c r="AI4" s="2"/>
      <c r="AJ4" s="2"/>
      <c r="AK4" s="2"/>
    </row>
    <row r="5" spans="1:37" ht="12.7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2"/>
      <c r="AI5" s="2"/>
      <c r="AJ5" s="2"/>
      <c r="AK5" s="2"/>
    </row>
    <row r="6" spans="1:37" ht="12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3"/>
      <c r="T6" s="4"/>
      <c r="U6" s="1" t="s">
        <v>1</v>
      </c>
      <c r="V6" s="1"/>
      <c r="W6" s="1"/>
      <c r="X6" s="5"/>
      <c r="Y6" s="6"/>
      <c r="Z6" s="1" t="s">
        <v>2</v>
      </c>
      <c r="AA6" s="1"/>
      <c r="AB6" s="1"/>
      <c r="AC6" s="1"/>
      <c r="AD6" s="1"/>
      <c r="AE6" s="1"/>
      <c r="AF6" s="1"/>
      <c r="AG6" s="1"/>
      <c r="AH6" s="2"/>
      <c r="AI6" s="2"/>
      <c r="AJ6" s="2"/>
      <c r="AK6" s="2"/>
    </row>
    <row r="7" spans="1:37" ht="12.75" customHeight="1" x14ac:dyDescent="0.3">
      <c r="A7" s="1"/>
      <c r="B7" s="1"/>
      <c r="C7" s="7" t="s">
        <v>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2"/>
      <c r="AI7" s="2"/>
      <c r="AJ7" s="2"/>
      <c r="AK7" s="2"/>
    </row>
    <row r="8" spans="1:37" ht="12.75" customHeight="1" x14ac:dyDescent="0.3">
      <c r="A8" s="1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0"/>
      <c r="AG8" s="1"/>
      <c r="AH8" s="2"/>
      <c r="AI8" s="2"/>
      <c r="AJ8" s="2"/>
      <c r="AK8" s="2"/>
    </row>
    <row r="9" spans="1:37" ht="12.75" customHeight="1" x14ac:dyDescent="0.3">
      <c r="A9" s="1"/>
      <c r="B9" s="11"/>
      <c r="C9" s="7"/>
      <c r="D9" s="1"/>
      <c r="E9" s="1"/>
      <c r="F9" s="1"/>
      <c r="G9" s="1"/>
      <c r="H9" s="1"/>
      <c r="I9" s="12"/>
      <c r="J9" s="13"/>
      <c r="K9" s="1"/>
      <c r="L9" s="1"/>
      <c r="M9" s="1"/>
      <c r="N9" s="1"/>
      <c r="O9" s="1"/>
      <c r="P9" s="8"/>
      <c r="Q9" s="279" t="s">
        <v>4</v>
      </c>
      <c r="R9" s="279"/>
      <c r="S9" s="279"/>
      <c r="T9" s="279"/>
      <c r="U9" s="279"/>
      <c r="V9" s="279"/>
      <c r="W9" s="279"/>
      <c r="X9" s="279"/>
      <c r="Y9" s="279"/>
      <c r="Z9" s="279"/>
      <c r="AA9" s="14"/>
      <c r="AB9" s="7"/>
      <c r="AC9" s="7"/>
      <c r="AD9" s="15" t="s">
        <v>5</v>
      </c>
      <c r="AE9" s="1"/>
      <c r="AF9" s="16"/>
      <c r="AG9" s="1"/>
      <c r="AH9" s="2"/>
      <c r="AI9" s="2"/>
      <c r="AJ9" s="2"/>
      <c r="AK9" s="2"/>
    </row>
    <row r="10" spans="1:37" ht="12.75" customHeight="1" x14ac:dyDescent="0.3">
      <c r="A10" s="1"/>
      <c r="B10" s="11"/>
      <c r="C10" s="17" t="s">
        <v>6</v>
      </c>
      <c r="D10" s="18"/>
      <c r="E10" s="18"/>
      <c r="F10" s="18"/>
      <c r="G10" s="19"/>
      <c r="H10" s="1"/>
      <c r="I10" s="20">
        <v>0.113</v>
      </c>
      <c r="J10" s="1"/>
      <c r="K10" s="1" t="s">
        <v>7</v>
      </c>
      <c r="L10" s="1" t="s">
        <v>8</v>
      </c>
      <c r="M10" s="1"/>
      <c r="N10" s="1"/>
      <c r="O10" s="1"/>
      <c r="P10" s="11"/>
      <c r="Q10" s="254" t="s">
        <v>9</v>
      </c>
      <c r="R10" s="254"/>
      <c r="S10" s="254"/>
      <c r="T10" s="254"/>
      <c r="U10" s="254"/>
      <c r="V10" s="1"/>
      <c r="W10" s="1"/>
      <c r="X10" s="1"/>
      <c r="Y10" s="1"/>
      <c r="Z10" s="165">
        <f>COUNTIF('MATRIZ COMPLETO PROPOSTA'!D15:D1000,"CA")</f>
        <v>126</v>
      </c>
      <c r="AA10" s="16"/>
      <c r="AB10" s="1"/>
      <c r="AC10" s="1"/>
      <c r="AD10" s="22">
        <v>0.75</v>
      </c>
      <c r="AE10" s="1"/>
      <c r="AF10" s="16"/>
      <c r="AG10" s="1"/>
      <c r="AH10" s="2"/>
      <c r="AI10" s="2"/>
      <c r="AJ10" s="2"/>
      <c r="AK10" s="2"/>
    </row>
    <row r="11" spans="1:37" ht="12.75" customHeight="1" x14ac:dyDescent="0.3">
      <c r="A11" s="1"/>
      <c r="B11" s="11"/>
      <c r="C11" s="1"/>
      <c r="D11" s="1"/>
      <c r="E11" s="1"/>
      <c r="F11" s="1"/>
      <c r="G11" s="1"/>
      <c r="H11" s="1"/>
      <c r="I11" s="23"/>
      <c r="J11" s="1"/>
      <c r="K11" s="1"/>
      <c r="L11" s="1"/>
      <c r="M11" s="1"/>
      <c r="N11" s="1"/>
      <c r="O11" s="1"/>
      <c r="P11" s="11"/>
      <c r="Q11" s="254" t="s">
        <v>10</v>
      </c>
      <c r="R11" s="254"/>
      <c r="S11" s="254"/>
      <c r="T11" s="254"/>
      <c r="U11" s="254"/>
      <c r="V11" s="1"/>
      <c r="W11" s="1"/>
      <c r="X11" s="1"/>
      <c r="Y11" s="1"/>
      <c r="Z11" s="165">
        <f>COUNTIF('MATRIZ COMPLETO PROPOSTA'!D15:D1000,"CNA")</f>
        <v>426</v>
      </c>
      <c r="AA11" s="16"/>
      <c r="AB11" s="1"/>
      <c r="AC11" s="1"/>
      <c r="AD11" s="1"/>
      <c r="AE11" s="1"/>
      <c r="AF11" s="16"/>
      <c r="AG11" s="1"/>
      <c r="AH11" s="2"/>
      <c r="AI11" s="2"/>
      <c r="AJ11" s="2"/>
      <c r="AK11" s="2"/>
    </row>
    <row r="12" spans="1:37" ht="12.75" customHeight="1" x14ac:dyDescent="0.3">
      <c r="A12" s="1"/>
      <c r="B12" s="11"/>
      <c r="C12" s="17" t="s">
        <v>11</v>
      </c>
      <c r="D12" s="18"/>
      <c r="E12" s="18"/>
      <c r="F12" s="18"/>
      <c r="G12" s="19"/>
      <c r="H12" s="1"/>
      <c r="I12" s="24">
        <f>U62</f>
        <v>796330</v>
      </c>
      <c r="J12" s="25"/>
      <c r="K12" s="25"/>
      <c r="L12" s="1"/>
      <c r="M12" s="1"/>
      <c r="N12" s="1"/>
      <c r="O12" s="1"/>
      <c r="P12" s="11"/>
      <c r="Q12" s="254" t="s">
        <v>12</v>
      </c>
      <c r="R12" s="254"/>
      <c r="S12" s="254"/>
      <c r="T12" s="254"/>
      <c r="U12" s="254"/>
      <c r="V12" s="1"/>
      <c r="W12" s="1"/>
      <c r="X12" s="1"/>
      <c r="Y12" s="1"/>
      <c r="Z12" s="165">
        <f>COUNTIF('MATRIZ COMPLETO PROPOSTA'!D15:D1000,"ECA")</f>
        <v>16</v>
      </c>
      <c r="AA12" s="16"/>
      <c r="AB12" s="1"/>
      <c r="AC12" s="1"/>
      <c r="AD12" s="1"/>
      <c r="AE12" s="1"/>
      <c r="AF12" s="16"/>
      <c r="AG12" s="1"/>
      <c r="AH12" s="2"/>
      <c r="AI12" s="2"/>
      <c r="AJ12" s="2"/>
      <c r="AK12" s="2"/>
    </row>
    <row r="13" spans="1:37" ht="12.75" customHeight="1" x14ac:dyDescent="0.3">
      <c r="A13" s="1"/>
      <c r="B13" s="11"/>
      <c r="C13" s="1"/>
      <c r="D13" s="1"/>
      <c r="E13" s="1"/>
      <c r="F13" s="1"/>
      <c r="G13" s="1"/>
      <c r="H13" s="1"/>
      <c r="I13" s="23"/>
      <c r="J13" s="1"/>
      <c r="K13" s="1"/>
      <c r="L13" s="1"/>
      <c r="M13" s="1"/>
      <c r="N13" s="1"/>
      <c r="O13" s="1"/>
      <c r="P13" s="11"/>
      <c r="Q13" s="254" t="s">
        <v>13</v>
      </c>
      <c r="R13" s="254"/>
      <c r="S13" s="254"/>
      <c r="T13" s="254"/>
      <c r="U13" s="254"/>
      <c r="V13" s="1"/>
      <c r="W13" s="1"/>
      <c r="X13" s="1"/>
      <c r="Y13" s="1"/>
      <c r="Z13" s="165">
        <f>COUNTIF('MATRIZ COMPLETO PROPOSTA'!D15:D1000,"ECA (CNA)")</f>
        <v>58</v>
      </c>
      <c r="AA13" s="16"/>
      <c r="AB13" s="1"/>
      <c r="AC13" s="1"/>
      <c r="AD13" s="1"/>
      <c r="AE13" s="1"/>
      <c r="AF13" s="16"/>
      <c r="AG13" s="1"/>
      <c r="AH13" s="2"/>
      <c r="AI13" s="2"/>
      <c r="AJ13" s="2"/>
      <c r="AK13" s="2"/>
    </row>
    <row r="14" spans="1:37" ht="12.75" customHeight="1" x14ac:dyDescent="0.3">
      <c r="A14" s="1"/>
      <c r="B14" s="11"/>
      <c r="C14" s="26" t="s">
        <v>14</v>
      </c>
      <c r="D14" s="18"/>
      <c r="E14" s="18"/>
      <c r="F14" s="18"/>
      <c r="G14" s="19"/>
      <c r="H14" s="1"/>
      <c r="I14" s="27">
        <f>(U62/Q62)-1</f>
        <v>0.14419668579097178</v>
      </c>
      <c r="J14" s="1"/>
      <c r="K14" s="1"/>
      <c r="L14" s="1"/>
      <c r="M14" s="12"/>
      <c r="N14" s="1"/>
      <c r="O14" s="1"/>
      <c r="P14" s="11"/>
      <c r="Q14" s="254" t="s">
        <v>15</v>
      </c>
      <c r="R14" s="254"/>
      <c r="S14" s="254"/>
      <c r="T14" s="254"/>
      <c r="U14" s="254"/>
      <c r="V14" s="1"/>
      <c r="W14" s="1"/>
      <c r="X14" s="1"/>
      <c r="Y14" s="1"/>
      <c r="Z14" s="21">
        <f>SUM(Z10:Z13)</f>
        <v>626</v>
      </c>
      <c r="AA14" s="16"/>
      <c r="AB14" s="1"/>
      <c r="AC14" s="1"/>
      <c r="AD14" s="1"/>
      <c r="AE14" s="1"/>
      <c r="AF14" s="16"/>
      <c r="AG14" s="1"/>
      <c r="AH14" s="2"/>
      <c r="AI14" s="2"/>
      <c r="AJ14" s="2"/>
      <c r="AK14" s="2"/>
    </row>
    <row r="15" spans="1:37" ht="12.75" customHeight="1" x14ac:dyDescent="0.3">
      <c r="A15" s="1"/>
      <c r="B15" s="11"/>
      <c r="C15" s="1"/>
      <c r="D15" s="1"/>
      <c r="E15" s="1"/>
      <c r="F15" s="1"/>
      <c r="G15" s="1"/>
      <c r="H15" s="1"/>
      <c r="I15" s="23"/>
      <c r="J15" s="1"/>
      <c r="K15" s="1"/>
      <c r="L15" s="1"/>
      <c r="M15" s="1"/>
      <c r="N15" s="1"/>
      <c r="O15" s="1"/>
      <c r="P15" s="28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30"/>
      <c r="AB15" s="1"/>
      <c r="AC15" s="1"/>
      <c r="AD15" s="1"/>
      <c r="AE15" s="1"/>
      <c r="AF15" s="16"/>
      <c r="AG15" s="1"/>
      <c r="AH15" s="2"/>
      <c r="AI15" s="2"/>
      <c r="AJ15" s="2"/>
      <c r="AK15" s="2"/>
    </row>
    <row r="16" spans="1:37" ht="12.75" customHeight="1" x14ac:dyDescent="0.3">
      <c r="A16" s="1"/>
      <c r="B16" s="11"/>
      <c r="C16" s="17" t="s">
        <v>16</v>
      </c>
      <c r="D16" s="18"/>
      <c r="E16" s="18"/>
      <c r="F16" s="18"/>
      <c r="G16" s="19"/>
      <c r="H16" s="1"/>
      <c r="I16" s="24">
        <f>U64</f>
        <v>469399</v>
      </c>
      <c r="J16" s="1"/>
      <c r="K16" s="3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23"/>
      <c r="AE16" s="1"/>
      <c r="AF16" s="16"/>
      <c r="AG16" s="1"/>
      <c r="AH16" s="2"/>
      <c r="AI16" s="2"/>
      <c r="AJ16" s="2"/>
      <c r="AK16" s="2"/>
    </row>
    <row r="17" spans="1:37" ht="12.75" customHeight="1" x14ac:dyDescent="0.3">
      <c r="A17" s="1"/>
      <c r="B17" s="11"/>
      <c r="C17" s="1"/>
      <c r="D17" s="1"/>
      <c r="E17" s="1"/>
      <c r="F17" s="1"/>
      <c r="G17" s="1"/>
      <c r="H17" s="1"/>
      <c r="I17" s="23"/>
      <c r="J17" s="1"/>
      <c r="K17" s="1"/>
      <c r="L17" s="1"/>
      <c r="M17" s="1"/>
      <c r="N17" s="1"/>
      <c r="O17" s="1"/>
      <c r="P17" s="1"/>
      <c r="Q17" s="274" t="s">
        <v>17</v>
      </c>
      <c r="R17" s="274"/>
      <c r="S17" s="274"/>
      <c r="T17" s="274"/>
      <c r="U17" s="274"/>
      <c r="V17" s="1"/>
      <c r="W17" s="275">
        <f>I79</f>
        <v>41523216.533</v>
      </c>
      <c r="X17" s="275"/>
      <c r="Y17" s="275"/>
      <c r="Z17" s="275"/>
      <c r="AA17" s="1"/>
      <c r="AB17" s="1"/>
      <c r="AC17" s="1"/>
      <c r="AD17" s="32"/>
      <c r="AE17" s="1"/>
      <c r="AF17" s="16"/>
      <c r="AG17" s="1"/>
      <c r="AH17" s="2"/>
      <c r="AI17" s="2"/>
      <c r="AJ17" s="2"/>
      <c r="AK17" s="2"/>
    </row>
    <row r="18" spans="1:37" ht="12.75" customHeight="1" x14ac:dyDescent="0.3">
      <c r="A18" s="1"/>
      <c r="B18" s="11"/>
      <c r="C18" s="26" t="s">
        <v>18</v>
      </c>
      <c r="D18" s="18"/>
      <c r="E18" s="18"/>
      <c r="F18" s="18"/>
      <c r="G18" s="19"/>
      <c r="H18" s="1"/>
      <c r="I18" s="27">
        <f>(U64/Q64)-1</f>
        <v>3.655719981750015</v>
      </c>
      <c r="J18" s="1"/>
      <c r="K18" s="1"/>
      <c r="L18" s="1"/>
      <c r="M18" s="12"/>
      <c r="N18" s="1"/>
      <c r="O18" s="1"/>
      <c r="P18" s="1"/>
      <c r="Q18" s="274" t="s">
        <v>19</v>
      </c>
      <c r="R18" s="274"/>
      <c r="S18" s="274"/>
      <c r="T18" s="274"/>
      <c r="U18" s="274"/>
      <c r="V18" s="1"/>
      <c r="W18" s="275">
        <f>I84</f>
        <v>41523216.533</v>
      </c>
      <c r="X18" s="275"/>
      <c r="Y18" s="275"/>
      <c r="Z18" s="275"/>
      <c r="AA18" s="1"/>
      <c r="AB18" s="1"/>
      <c r="AC18" s="1"/>
      <c r="AD18" s="32"/>
      <c r="AE18" s="1"/>
      <c r="AF18" s="16"/>
      <c r="AG18" s="1"/>
      <c r="AH18" s="2"/>
      <c r="AI18" s="2"/>
      <c r="AJ18" s="2"/>
      <c r="AK18" s="2"/>
    </row>
    <row r="19" spans="1:37" ht="12.75" customHeight="1" x14ac:dyDescent="0.3">
      <c r="A19" s="1"/>
      <c r="B19" s="11"/>
      <c r="C19" s="1"/>
      <c r="D19" s="1"/>
      <c r="E19" s="1"/>
      <c r="F19" s="1"/>
      <c r="G19" s="1"/>
      <c r="H19" s="1"/>
      <c r="I19" s="23"/>
      <c r="J19" s="1"/>
      <c r="K19" s="1"/>
      <c r="L19" s="1"/>
      <c r="M19" s="1"/>
      <c r="N19" s="1"/>
      <c r="O19" s="1"/>
      <c r="P19" s="1"/>
      <c r="Q19" s="274" t="s">
        <v>20</v>
      </c>
      <c r="R19" s="274"/>
      <c r="S19" s="274"/>
      <c r="T19" s="274"/>
      <c r="U19" s="274"/>
      <c r="V19" s="1"/>
      <c r="W19" s="275">
        <f>I89</f>
        <v>83046433.066</v>
      </c>
      <c r="X19" s="275"/>
      <c r="Y19" s="275"/>
      <c r="Z19" s="275"/>
      <c r="AA19" s="1"/>
      <c r="AB19" s="1"/>
      <c r="AC19" s="1"/>
      <c r="AD19" s="32"/>
      <c r="AE19" s="1"/>
      <c r="AF19" s="16"/>
      <c r="AG19" s="1"/>
      <c r="AH19" s="2"/>
      <c r="AI19" s="2"/>
      <c r="AJ19" s="2"/>
      <c r="AK19" s="2"/>
    </row>
    <row r="20" spans="1:37" ht="12.75" customHeight="1" x14ac:dyDescent="0.3">
      <c r="A20" s="1"/>
      <c r="B20" s="11"/>
      <c r="C20" s="33" t="s">
        <v>21</v>
      </c>
      <c r="D20" s="34"/>
      <c r="E20" s="34"/>
      <c r="F20" s="34"/>
      <c r="G20" s="35"/>
      <c r="H20" s="1"/>
      <c r="I20" s="27">
        <f>(U63/Q63)-1</f>
        <v>3.9156626506024139E-2</v>
      </c>
      <c r="J20" s="1"/>
      <c r="K20" s="1"/>
      <c r="L20" s="1"/>
      <c r="M20" s="12"/>
      <c r="N20" s="1"/>
      <c r="O20" s="1"/>
      <c r="P20" s="1"/>
      <c r="Q20" s="274" t="s">
        <v>22</v>
      </c>
      <c r="R20" s="274"/>
      <c r="S20" s="274"/>
      <c r="T20" s="274"/>
      <c r="U20" s="274"/>
      <c r="V20" s="1"/>
      <c r="W20" s="276">
        <f>SUM(W17:W19)</f>
        <v>166092866.132</v>
      </c>
      <c r="X20" s="276"/>
      <c r="Y20" s="276"/>
      <c r="Z20" s="276"/>
      <c r="AA20" s="1"/>
      <c r="AB20" s="1"/>
      <c r="AC20" s="1"/>
      <c r="AD20" s="32"/>
      <c r="AE20" s="1"/>
      <c r="AF20" s="16"/>
      <c r="AG20" s="1"/>
      <c r="AH20" s="2"/>
      <c r="AI20" s="2"/>
      <c r="AJ20" s="2"/>
      <c r="AK20" s="2"/>
    </row>
    <row r="21" spans="1:37" ht="12.75" customHeight="1" x14ac:dyDescent="0.3">
      <c r="A21" s="1"/>
      <c r="B21" s="11"/>
      <c r="C21" s="1"/>
      <c r="D21" s="1"/>
      <c r="E21" s="1"/>
      <c r="F21" s="1"/>
      <c r="G21" s="1"/>
      <c r="H21" s="1"/>
      <c r="I21" s="23"/>
      <c r="J21" s="1"/>
      <c r="K21" s="31"/>
      <c r="L21" s="1"/>
      <c r="M21" s="3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32"/>
      <c r="AE21" s="1"/>
      <c r="AF21" s="16"/>
      <c r="AG21" s="1"/>
      <c r="AH21" s="2"/>
      <c r="AI21" s="36"/>
      <c r="AJ21" s="36"/>
      <c r="AK21" s="2"/>
    </row>
    <row r="22" spans="1:37" ht="12.75" customHeight="1" x14ac:dyDescent="0.3">
      <c r="A22" s="1"/>
      <c r="B22" s="11"/>
      <c r="C22" s="17" t="s">
        <v>23</v>
      </c>
      <c r="D22" s="18"/>
      <c r="E22" s="18"/>
      <c r="F22" s="18"/>
      <c r="G22" s="19"/>
      <c r="H22" s="1"/>
      <c r="I22" s="20">
        <v>1.5E-3</v>
      </c>
      <c r="J22" s="1"/>
      <c r="K22" s="31"/>
      <c r="L22" s="1"/>
      <c r="M22" s="32"/>
      <c r="N22" s="1"/>
      <c r="O22" s="1"/>
      <c r="P22" s="1"/>
      <c r="Q22" s="17" t="s">
        <v>24</v>
      </c>
      <c r="R22" s="18"/>
      <c r="S22" s="18"/>
      <c r="T22" s="18"/>
      <c r="U22" s="19"/>
      <c r="V22" s="1"/>
      <c r="W22" s="277">
        <f>J73</f>
        <v>0.1</v>
      </c>
      <c r="X22" s="277"/>
      <c r="Y22" s="277"/>
      <c r="Z22" s="277"/>
      <c r="AA22" s="1"/>
      <c r="AB22" s="1"/>
      <c r="AC22" s="1"/>
      <c r="AD22" s="32"/>
      <c r="AE22" s="1"/>
      <c r="AF22" s="16"/>
      <c r="AG22" s="1"/>
      <c r="AH22" s="2"/>
      <c r="AI22" s="37"/>
      <c r="AJ22" s="37"/>
      <c r="AK22" s="2"/>
    </row>
    <row r="23" spans="1:37" ht="12.75" customHeight="1" x14ac:dyDescent="0.3">
      <c r="A23" s="1"/>
      <c r="B23" s="11"/>
      <c r="C23" s="31"/>
      <c r="D23" s="31"/>
      <c r="E23" s="31"/>
      <c r="F23" s="31"/>
      <c r="G23" s="31"/>
      <c r="H23" s="31"/>
      <c r="I23" s="31"/>
      <c r="J23" s="31"/>
      <c r="K23" s="31"/>
      <c r="L23" s="1"/>
      <c r="M23" s="32"/>
      <c r="N23" s="1"/>
      <c r="O23" s="1"/>
      <c r="P23" s="1"/>
      <c r="Q23" s="17" t="s">
        <v>25</v>
      </c>
      <c r="R23" s="18"/>
      <c r="S23" s="18"/>
      <c r="T23" s="18"/>
      <c r="U23" s="19"/>
      <c r="V23" s="1"/>
      <c r="W23" s="277">
        <f>J92</f>
        <v>0.1</v>
      </c>
      <c r="X23" s="277"/>
      <c r="Y23" s="277"/>
      <c r="Z23" s="277"/>
      <c r="AA23" s="1"/>
      <c r="AB23" s="1"/>
      <c r="AC23" s="1"/>
      <c r="AD23" s="32"/>
      <c r="AE23" s="1"/>
      <c r="AF23" s="16"/>
      <c r="AG23" s="1"/>
      <c r="AH23" s="2"/>
      <c r="AI23" s="37"/>
      <c r="AJ23" s="37"/>
      <c r="AK23" s="2"/>
    </row>
    <row r="24" spans="1:37" ht="12.75" customHeight="1" x14ac:dyDescent="0.3">
      <c r="A24" s="1"/>
      <c r="B24" s="11"/>
      <c r="C24" s="31"/>
      <c r="D24" s="31"/>
      <c r="E24" s="31"/>
      <c r="F24" s="31"/>
      <c r="G24" s="31"/>
      <c r="H24" s="31"/>
      <c r="I24" s="31"/>
      <c r="J24" s="31"/>
      <c r="K24" s="31"/>
      <c r="L24" s="1"/>
      <c r="M24" s="32"/>
      <c r="N24" s="1"/>
      <c r="O24" s="1"/>
      <c r="P24" s="1"/>
      <c r="Q24" s="17" t="s">
        <v>26</v>
      </c>
      <c r="R24" s="18"/>
      <c r="S24" s="18"/>
      <c r="T24" s="18"/>
      <c r="U24" s="19"/>
      <c r="V24" s="1"/>
      <c r="W24" s="277">
        <f>1-W22-W23</f>
        <v>0.8</v>
      </c>
      <c r="X24" s="277"/>
      <c r="Y24" s="277"/>
      <c r="Z24" s="277"/>
      <c r="AA24" s="1"/>
      <c r="AB24" s="1"/>
      <c r="AC24" s="1"/>
      <c r="AD24" s="1"/>
      <c r="AE24" s="1"/>
      <c r="AF24" s="16"/>
      <c r="AG24" s="1"/>
      <c r="AH24" s="2"/>
      <c r="AI24" s="2"/>
      <c r="AJ24" s="2"/>
      <c r="AK24" s="2"/>
    </row>
    <row r="25" spans="1:37" ht="12.75" customHeight="1" x14ac:dyDescent="0.3">
      <c r="A25" s="1"/>
      <c r="B25" s="11"/>
      <c r="C25" s="17" t="s">
        <v>27</v>
      </c>
      <c r="D25" s="18"/>
      <c r="E25" s="18"/>
      <c r="F25" s="18"/>
      <c r="G25" s="19"/>
      <c r="H25" s="1"/>
      <c r="I25" s="38">
        <v>2318820439.5907001</v>
      </c>
      <c r="J25" s="1"/>
      <c r="K25" s="3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6"/>
      <c r="AG25" s="1"/>
      <c r="AH25" s="2"/>
      <c r="AI25" s="36"/>
      <c r="AJ25" s="2"/>
      <c r="AK25" s="2"/>
    </row>
    <row r="26" spans="1:37" ht="12.75" customHeight="1" x14ac:dyDescent="0.3">
      <c r="A26" s="1"/>
      <c r="B26" s="11"/>
      <c r="C26" s="1"/>
      <c r="D26" s="1"/>
      <c r="E26" s="1"/>
      <c r="F26" s="1"/>
      <c r="G26" s="1"/>
      <c r="H26" s="1"/>
      <c r="I26" s="32"/>
      <c r="J26" s="1"/>
      <c r="K26" s="31"/>
      <c r="L26" s="1"/>
      <c r="M26" s="1"/>
      <c r="N26" s="1"/>
      <c r="O26" s="1"/>
      <c r="P26" s="1"/>
      <c r="Q26" s="17" t="s">
        <v>28</v>
      </c>
      <c r="R26" s="18"/>
      <c r="S26" s="18"/>
      <c r="T26" s="18"/>
      <c r="U26" s="19"/>
      <c r="V26" s="1"/>
      <c r="W26" s="269">
        <f>'MATRIZ COMPLETO PROPOSTA'!N11</f>
        <v>1262233565.0389161</v>
      </c>
      <c r="X26" s="270"/>
      <c r="Y26" s="270"/>
      <c r="Z26" s="270"/>
      <c r="AA26" s="1"/>
      <c r="AB26" s="1"/>
      <c r="AC26" s="1"/>
      <c r="AD26" s="1"/>
      <c r="AE26" s="31"/>
      <c r="AF26" s="39"/>
      <c r="AG26" s="31"/>
      <c r="AH26" s="2"/>
      <c r="AI26" s="2"/>
      <c r="AJ26" s="2"/>
      <c r="AK26" s="2"/>
    </row>
    <row r="27" spans="1:37" ht="15.75" customHeight="1" x14ac:dyDescent="0.3">
      <c r="A27" s="1"/>
      <c r="B27" s="11"/>
      <c r="C27" s="40" t="s">
        <v>29</v>
      </c>
      <c r="D27" s="41"/>
      <c r="E27" s="41"/>
      <c r="F27" s="41"/>
      <c r="G27" s="42"/>
      <c r="H27" s="1"/>
      <c r="I27" s="204">
        <v>2121076335.3199999</v>
      </c>
      <c r="J27" s="32"/>
      <c r="K27" s="31"/>
      <c r="L27" s="1"/>
      <c r="M27" s="32"/>
      <c r="N27" s="1"/>
      <c r="O27" s="1"/>
      <c r="P27" s="1"/>
      <c r="Q27" s="17" t="s">
        <v>30</v>
      </c>
      <c r="R27" s="18"/>
      <c r="S27" s="18"/>
      <c r="T27" s="18"/>
      <c r="U27" s="19"/>
      <c r="V27" s="1"/>
      <c r="W27" s="269">
        <f>'MATRIZ COMPLETO PROPOSTA'!V11</f>
        <v>66509364.017083593</v>
      </c>
      <c r="X27" s="270"/>
      <c r="Y27" s="270"/>
      <c r="Z27" s="270"/>
      <c r="AA27" s="1"/>
      <c r="AB27" s="1"/>
      <c r="AC27" s="1"/>
      <c r="AD27" s="1"/>
      <c r="AE27" s="1"/>
      <c r="AF27" s="16"/>
      <c r="AG27" s="1"/>
      <c r="AH27" s="2"/>
      <c r="AI27" s="37"/>
      <c r="AJ27" s="37"/>
      <c r="AK27" s="2"/>
    </row>
    <row r="28" spans="1:37" ht="12.75" customHeight="1" x14ac:dyDescent="0.3">
      <c r="A28" s="1"/>
      <c r="B28" s="11"/>
      <c r="C28" s="1"/>
      <c r="D28" s="1"/>
      <c r="E28" s="1"/>
      <c r="F28" s="1"/>
      <c r="G28" s="1"/>
      <c r="H28" s="1"/>
      <c r="I28" s="43"/>
      <c r="J28" s="1"/>
      <c r="K28" s="1"/>
      <c r="L28" s="1"/>
      <c r="M28" s="32"/>
      <c r="N28" s="1"/>
      <c r="O28" s="1"/>
      <c r="P28" s="1"/>
      <c r="Q28" s="17"/>
      <c r="R28" s="18"/>
      <c r="S28" s="18"/>
      <c r="T28" s="18"/>
      <c r="U28" s="19"/>
      <c r="V28" s="1"/>
      <c r="W28" s="270"/>
      <c r="X28" s="270"/>
      <c r="Y28" s="270"/>
      <c r="Z28" s="270"/>
      <c r="AA28" s="1"/>
      <c r="AB28" s="1"/>
      <c r="AC28" s="1"/>
      <c r="AD28" s="1"/>
      <c r="AE28" s="1"/>
      <c r="AF28" s="16"/>
      <c r="AG28" s="1"/>
      <c r="AH28" s="2"/>
      <c r="AI28" s="37"/>
      <c r="AJ28" s="37"/>
      <c r="AK28" s="2"/>
    </row>
    <row r="29" spans="1:37" ht="15.75" customHeight="1" x14ac:dyDescent="0.3">
      <c r="A29" s="1"/>
      <c r="B29" s="11"/>
      <c r="C29" s="17" t="s">
        <v>31</v>
      </c>
      <c r="D29" s="18"/>
      <c r="E29" s="18"/>
      <c r="F29" s="18"/>
      <c r="G29" s="19"/>
      <c r="H29" s="1"/>
      <c r="I29" s="205">
        <f>IF((I31+I35*0.25+I39*0.8)&gt;0,W29/(I31+I35*0.25+I39*0.8),0)</f>
        <v>984.7361307498569</v>
      </c>
      <c r="J29" s="44"/>
      <c r="K29" s="45"/>
      <c r="L29" s="1"/>
      <c r="M29" s="32"/>
      <c r="N29" s="1"/>
      <c r="O29" s="1"/>
      <c r="P29" s="1"/>
      <c r="Q29" s="17" t="s">
        <v>32</v>
      </c>
      <c r="R29" s="18"/>
      <c r="S29" s="18"/>
      <c r="T29" s="18"/>
      <c r="U29" s="19"/>
      <c r="V29" s="1"/>
      <c r="W29" s="271">
        <f>(I27-W42)*W24</f>
        <v>1328742929.056</v>
      </c>
      <c r="X29" s="271"/>
      <c r="Y29" s="271"/>
      <c r="Z29" s="271"/>
      <c r="AA29" s="1"/>
      <c r="AB29" s="1"/>
      <c r="AC29" s="1"/>
      <c r="AD29" s="1"/>
      <c r="AE29" s="1"/>
      <c r="AF29" s="16"/>
      <c r="AG29" s="1"/>
      <c r="AH29" s="2"/>
      <c r="AI29" s="37"/>
      <c r="AJ29" s="37"/>
      <c r="AK29" s="2"/>
    </row>
    <row r="30" spans="1:37" ht="12.75" customHeight="1" x14ac:dyDescent="0.3">
      <c r="A30" s="1"/>
      <c r="B30" s="11"/>
      <c r="C30" s="1"/>
      <c r="D30" s="1"/>
      <c r="E30" s="1"/>
      <c r="F30" s="1"/>
      <c r="G30" s="1"/>
      <c r="H30" s="1"/>
      <c r="I30" s="43"/>
      <c r="J30" s="1"/>
      <c r="K30" s="31"/>
      <c r="L30" s="1"/>
      <c r="M30" s="32"/>
      <c r="N30" s="1"/>
      <c r="O30" s="1"/>
      <c r="P30" s="1"/>
      <c r="Q30" s="1"/>
      <c r="R30" s="1"/>
      <c r="S30" s="1"/>
      <c r="T30" s="1"/>
      <c r="U30" s="1"/>
      <c r="V30" s="1"/>
      <c r="W30" s="32"/>
      <c r="X30" s="32"/>
      <c r="Y30" s="32"/>
      <c r="Z30" s="32"/>
      <c r="AA30" s="1"/>
      <c r="AB30" s="1"/>
      <c r="AC30" s="1"/>
      <c r="AD30" s="1"/>
      <c r="AE30" s="1"/>
      <c r="AF30" s="16"/>
      <c r="AG30" s="1"/>
      <c r="AH30" s="2"/>
      <c r="AI30" s="37"/>
      <c r="AJ30" s="37"/>
      <c r="AK30" s="2"/>
    </row>
    <row r="31" spans="1:37" ht="12.75" customHeight="1" x14ac:dyDescent="0.3">
      <c r="A31" s="1"/>
      <c r="B31" s="11"/>
      <c r="C31" s="17" t="s">
        <v>33</v>
      </c>
      <c r="D31" s="18"/>
      <c r="E31" s="18"/>
      <c r="F31" s="18"/>
      <c r="G31" s="19"/>
      <c r="H31" s="1"/>
      <c r="I31" s="206">
        <f>'MATRIZ COMPLETO PROPOSTA'!L11</f>
        <v>1281798.7739291647</v>
      </c>
      <c r="J31" s="1"/>
      <c r="K31" s="31"/>
      <c r="L31" s="1"/>
      <c r="M31" s="32"/>
      <c r="N31" s="1"/>
      <c r="O31" s="1"/>
      <c r="P31" s="1"/>
      <c r="Q31" s="17" t="s">
        <v>34</v>
      </c>
      <c r="R31" s="18"/>
      <c r="S31" s="18"/>
      <c r="T31" s="18"/>
      <c r="U31" s="19"/>
      <c r="V31" s="1"/>
      <c r="W31" s="270">
        <f>($I$27-$W$42)*W23</f>
        <v>166092866.132</v>
      </c>
      <c r="X31" s="270"/>
      <c r="Y31" s="270"/>
      <c r="Z31" s="270"/>
      <c r="AA31" s="1"/>
      <c r="AB31" s="1"/>
      <c r="AC31" s="1"/>
      <c r="AD31" s="1"/>
      <c r="AE31" s="1"/>
      <c r="AF31" s="16"/>
      <c r="AG31" s="1"/>
      <c r="AH31" s="2"/>
    </row>
    <row r="32" spans="1:37" ht="12.75" customHeight="1" x14ac:dyDescent="0.3">
      <c r="A32" s="1"/>
      <c r="B32" s="11"/>
      <c r="C32" s="1"/>
      <c r="D32" s="1"/>
      <c r="E32" s="1"/>
      <c r="F32" s="1"/>
      <c r="G32" s="1"/>
      <c r="H32" s="1"/>
      <c r="I32" s="23"/>
      <c r="J32" s="1"/>
      <c r="K32" s="31"/>
      <c r="L32" s="1"/>
      <c r="M32" s="32"/>
      <c r="N32" s="1"/>
      <c r="O32" s="1"/>
      <c r="P32" s="1"/>
      <c r="Q32" s="17" t="s">
        <v>35</v>
      </c>
      <c r="R32" s="18"/>
      <c r="S32" s="18"/>
      <c r="T32" s="18"/>
      <c r="U32" s="19"/>
      <c r="V32" s="1"/>
      <c r="W32" s="269">
        <f>SUMIF('MATRIZ RESUMO PROPOSTA'!D15:D1000,"R",'MATRIZ RESUMO PROPOSTA'!G15:G1000)</f>
        <v>166092866.132</v>
      </c>
      <c r="X32" s="270"/>
      <c r="Y32" s="270"/>
      <c r="Z32" s="270"/>
      <c r="AA32" s="1"/>
      <c r="AB32" s="1"/>
      <c r="AC32" s="1"/>
      <c r="AD32" s="1"/>
      <c r="AE32" s="1"/>
      <c r="AF32" s="16"/>
      <c r="AG32" s="1"/>
      <c r="AH32" s="2"/>
      <c r="AI32" s="2"/>
      <c r="AJ32" s="2"/>
      <c r="AK32" s="2"/>
    </row>
    <row r="33" spans="1:37" ht="12.75" customHeight="1" x14ac:dyDescent="0.3">
      <c r="A33" s="1"/>
      <c r="B33" s="11"/>
      <c r="C33" s="17" t="s">
        <v>36</v>
      </c>
      <c r="D33" s="18"/>
      <c r="E33" s="18"/>
      <c r="F33" s="18"/>
      <c r="G33" s="19"/>
      <c r="H33" s="1"/>
      <c r="I33" s="163">
        <f>I29*0.25</f>
        <v>246.18403268746422</v>
      </c>
      <c r="J33" s="1"/>
      <c r="K33" s="31"/>
      <c r="L33" s="1"/>
      <c r="M33" s="32"/>
      <c r="N33" s="1"/>
      <c r="O33" s="1"/>
      <c r="P33" s="1"/>
      <c r="Q33" s="17"/>
      <c r="R33" s="18"/>
      <c r="S33" s="18"/>
      <c r="T33" s="18"/>
      <c r="U33" s="19"/>
      <c r="V33" s="1"/>
      <c r="W33" s="270"/>
      <c r="X33" s="270"/>
      <c r="Y33" s="270"/>
      <c r="Z33" s="270"/>
      <c r="AA33" s="1"/>
      <c r="AB33" s="1"/>
      <c r="AC33" s="1"/>
      <c r="AD33" s="23"/>
      <c r="AE33" s="1"/>
      <c r="AF33" s="16"/>
      <c r="AG33" s="1"/>
      <c r="AH33" s="2"/>
      <c r="AI33" s="2"/>
      <c r="AJ33" s="2"/>
      <c r="AK33" s="2"/>
    </row>
    <row r="34" spans="1:37" ht="12.75" customHeight="1" x14ac:dyDescent="0.3">
      <c r="A34" s="1"/>
      <c r="B34" s="11"/>
      <c r="C34" s="1"/>
      <c r="D34" s="1"/>
      <c r="E34" s="1"/>
      <c r="F34" s="1"/>
      <c r="G34" s="1"/>
      <c r="H34" s="1"/>
      <c r="I34" s="47"/>
      <c r="J34" s="1"/>
      <c r="K34" s="31"/>
      <c r="L34" s="1"/>
      <c r="M34" s="32"/>
      <c r="N34" s="1"/>
      <c r="O34" s="1"/>
      <c r="P34" s="1"/>
      <c r="Q34" s="26"/>
      <c r="R34" s="18"/>
      <c r="S34" s="18"/>
      <c r="T34" s="18"/>
      <c r="U34" s="19"/>
      <c r="V34" s="1"/>
      <c r="W34" s="270"/>
      <c r="X34" s="270"/>
      <c r="Y34" s="270"/>
      <c r="Z34" s="270"/>
      <c r="AA34" s="1"/>
      <c r="AB34" s="1"/>
      <c r="AC34" s="1"/>
      <c r="AD34" s="23"/>
      <c r="AE34" s="1"/>
      <c r="AF34" s="16"/>
      <c r="AG34" s="1"/>
      <c r="AH34" s="2"/>
      <c r="AI34" s="2"/>
      <c r="AJ34" s="2"/>
      <c r="AK34" s="2"/>
    </row>
    <row r="35" spans="1:37" ht="12.75" customHeight="1" x14ac:dyDescent="0.3">
      <c r="A35" s="1"/>
      <c r="B35" s="11"/>
      <c r="C35" s="17" t="s">
        <v>37</v>
      </c>
      <c r="D35" s="18"/>
      <c r="E35" s="18"/>
      <c r="F35" s="18"/>
      <c r="G35" s="19"/>
      <c r="H35" s="1"/>
      <c r="I35" s="166">
        <f>'MATRIZ COMPLETO PROPOSTA'!P11</f>
        <v>25808.914877293315</v>
      </c>
      <c r="J35" s="1"/>
      <c r="K35" s="31"/>
      <c r="L35" s="1"/>
      <c r="M35" s="32"/>
      <c r="N35" s="1"/>
      <c r="O35" s="1"/>
      <c r="P35" s="1"/>
      <c r="Q35" s="17" t="s">
        <v>38</v>
      </c>
      <c r="R35" s="18"/>
      <c r="S35" s="18"/>
      <c r="T35" s="18"/>
      <c r="U35" s="19"/>
      <c r="V35" s="1"/>
      <c r="W35" s="271">
        <f>SUM(W31:W34)</f>
        <v>332185732.264</v>
      </c>
      <c r="X35" s="271"/>
      <c r="Y35" s="271"/>
      <c r="Z35" s="271"/>
      <c r="AA35" s="1"/>
      <c r="AB35" s="1"/>
      <c r="AC35" s="1"/>
      <c r="AD35" s="23"/>
      <c r="AE35" s="1"/>
      <c r="AF35" s="16"/>
      <c r="AG35" s="1"/>
      <c r="AH35" s="2"/>
      <c r="AI35" s="2"/>
      <c r="AJ35" s="2"/>
      <c r="AK35" s="2"/>
    </row>
    <row r="36" spans="1:37" ht="12.75" customHeight="1" x14ac:dyDescent="0.3">
      <c r="A36" s="1"/>
      <c r="B36" s="11"/>
      <c r="C36" s="1"/>
      <c r="D36" s="1"/>
      <c r="E36" s="1"/>
      <c r="F36" s="1"/>
      <c r="G36" s="1"/>
      <c r="H36" s="1"/>
      <c r="I36" s="23"/>
      <c r="J36" s="1"/>
      <c r="K36" s="31"/>
      <c r="L36" s="1"/>
      <c r="M36" s="32"/>
      <c r="N36" s="1"/>
      <c r="O36" s="1"/>
      <c r="P36" s="1"/>
      <c r="Q36" s="1"/>
      <c r="R36" s="1"/>
      <c r="S36" s="1"/>
      <c r="T36" s="1"/>
      <c r="U36" s="1"/>
      <c r="V36" s="1"/>
      <c r="W36" s="272"/>
      <c r="X36" s="272"/>
      <c r="Y36" s="272"/>
      <c r="Z36" s="272"/>
      <c r="AA36" s="1"/>
      <c r="AB36" s="1"/>
      <c r="AC36" s="1"/>
      <c r="AD36" s="23"/>
      <c r="AE36" s="1"/>
      <c r="AF36" s="16"/>
      <c r="AG36" s="1"/>
      <c r="AH36" s="2"/>
      <c r="AI36" s="2"/>
      <c r="AJ36" s="2"/>
      <c r="AK36" s="2"/>
    </row>
    <row r="37" spans="1:37" ht="12.75" customHeight="1" x14ac:dyDescent="0.3">
      <c r="A37" s="1"/>
      <c r="B37" s="11"/>
      <c r="C37" s="17" t="s">
        <v>39</v>
      </c>
      <c r="D37" s="18"/>
      <c r="E37" s="18"/>
      <c r="F37" s="18"/>
      <c r="G37" s="19"/>
      <c r="H37" s="1"/>
      <c r="I37" s="163">
        <f>I29*0.8</f>
        <v>787.78890459988554</v>
      </c>
      <c r="J37" s="32"/>
      <c r="K37" s="32"/>
      <c r="L37" s="32"/>
      <c r="M37" s="32"/>
      <c r="N37" s="1"/>
      <c r="O37" s="1"/>
      <c r="P37" s="1"/>
      <c r="Q37" s="26" t="s">
        <v>40</v>
      </c>
      <c r="R37" s="18"/>
      <c r="S37" s="18"/>
      <c r="T37" s="18"/>
      <c r="U37" s="19"/>
      <c r="V37" s="1"/>
      <c r="W37" s="273">
        <f>(W42-W39)*(1-AD10)*('MATRIZ COMPLETO PROPOSTA'!AF11/('MATRIZ COMPLETO PROPOSTA'!AF11+'MATRIZ COMPLETO PROPOSTA'!AW11))</f>
        <v>99991589.232514545</v>
      </c>
      <c r="X37" s="273"/>
      <c r="Y37" s="273"/>
      <c r="Z37" s="273"/>
      <c r="AA37" s="1"/>
      <c r="AB37" s="1"/>
      <c r="AC37" s="1"/>
      <c r="AD37" s="23"/>
      <c r="AE37" s="1"/>
      <c r="AF37" s="16"/>
      <c r="AG37" s="1"/>
      <c r="AH37" s="2"/>
      <c r="AI37" s="2"/>
      <c r="AJ37" s="2"/>
      <c r="AK37" s="2"/>
    </row>
    <row r="38" spans="1:37" ht="12.75" customHeight="1" x14ac:dyDescent="0.3">
      <c r="A38" s="1"/>
      <c r="B38" s="11"/>
      <c r="C38" s="1"/>
      <c r="D38" s="1"/>
      <c r="E38" s="1"/>
      <c r="F38" s="1"/>
      <c r="G38" s="1"/>
      <c r="H38" s="1"/>
      <c r="I38" s="32"/>
      <c r="J38" s="1"/>
      <c r="K38" s="1"/>
      <c r="L38" s="1"/>
      <c r="M38" s="32"/>
      <c r="N38" s="1"/>
      <c r="O38" s="1"/>
      <c r="P38" s="1"/>
      <c r="Q38" s="26" t="s">
        <v>41</v>
      </c>
      <c r="R38" s="18"/>
      <c r="S38" s="18"/>
      <c r="T38" s="18"/>
      <c r="U38" s="19"/>
      <c r="V38" s="1"/>
      <c r="W38" s="266">
        <f>(W42-W39)*AD10*('MATRIZ COMPLETO PROPOSTA'!AF11/('MATRIZ COMPLETO PROPOSTA'!AF11+'MATRIZ COMPLETO PROPOSTA'!AW11))</f>
        <v>299974767.69754368</v>
      </c>
      <c r="X38" s="266"/>
      <c r="Y38" s="266"/>
      <c r="Z38" s="266"/>
      <c r="AA38" s="1"/>
      <c r="AB38" s="1"/>
      <c r="AC38" s="1"/>
      <c r="AD38" s="48" t="s">
        <v>42</v>
      </c>
      <c r="AE38" s="1"/>
      <c r="AF38" s="16"/>
      <c r="AG38" s="1"/>
      <c r="AH38" s="2"/>
      <c r="AI38" s="2"/>
      <c r="AJ38" s="2"/>
      <c r="AK38" s="2"/>
    </row>
    <row r="39" spans="1:37" ht="12.75" customHeight="1" x14ac:dyDescent="0.3">
      <c r="A39" s="1"/>
      <c r="B39" s="11"/>
      <c r="C39" s="26" t="s">
        <v>43</v>
      </c>
      <c r="D39" s="18"/>
      <c r="E39" s="18"/>
      <c r="F39" s="18"/>
      <c r="G39" s="19"/>
      <c r="H39" s="1"/>
      <c r="I39" s="46">
        <f>'MATRIZ COMPLETO PROPOSTA'!S11</f>
        <v>76360.076820143615</v>
      </c>
      <c r="J39" s="1"/>
      <c r="K39" s="1"/>
      <c r="L39" s="1"/>
      <c r="M39" s="32"/>
      <c r="N39" s="1"/>
      <c r="O39" s="1"/>
      <c r="P39" s="1"/>
      <c r="Q39" s="17" t="s">
        <v>44</v>
      </c>
      <c r="R39" s="18"/>
      <c r="S39" s="18"/>
      <c r="T39" s="18"/>
      <c r="U39" s="19"/>
      <c r="V39" s="1"/>
      <c r="W39" s="266">
        <f>50330845.3765678*(1+AD36)</f>
        <v>50330845.376567803</v>
      </c>
      <c r="X39" s="266"/>
      <c r="Y39" s="266"/>
      <c r="Z39" s="266"/>
      <c r="AA39" s="1"/>
      <c r="AB39" s="1"/>
      <c r="AC39" s="1"/>
      <c r="AD39" s="49">
        <f>I27-W42-W29-W35</f>
        <v>0</v>
      </c>
      <c r="AE39" s="1"/>
      <c r="AF39" s="16"/>
      <c r="AG39" s="1"/>
      <c r="AH39" s="2"/>
      <c r="AI39" s="2"/>
      <c r="AJ39" s="2"/>
      <c r="AK39" s="2"/>
    </row>
    <row r="40" spans="1:37" ht="12.75" customHeight="1" x14ac:dyDescent="0.3">
      <c r="A40" s="1"/>
      <c r="B40" s="11"/>
      <c r="C40" s="1"/>
      <c r="D40" s="1"/>
      <c r="E40" s="1"/>
      <c r="F40" s="1"/>
      <c r="G40" s="1"/>
      <c r="H40" s="1"/>
      <c r="I40" s="1"/>
      <c r="J40" s="1"/>
      <c r="K40" s="32"/>
      <c r="L40" s="1"/>
      <c r="M40" s="32"/>
      <c r="N40" s="1"/>
      <c r="O40" s="1"/>
      <c r="P40" s="1"/>
      <c r="Q40" s="26" t="s">
        <v>45</v>
      </c>
      <c r="R40" s="18"/>
      <c r="S40" s="18"/>
      <c r="T40" s="18"/>
      <c r="U40" s="19"/>
      <c r="V40" s="1"/>
      <c r="W40" s="266">
        <f>(W42-W39)*(1-AD10)*('MATRIZ COMPLETO PROPOSTA'!AW11/('MATRIZ COMPLETO PROPOSTA'!AF11+'MATRIZ COMPLETO PROPOSTA'!AW11))</f>
        <v>2462617.9233435038</v>
      </c>
      <c r="X40" s="266"/>
      <c r="Y40" s="266"/>
      <c r="Z40" s="266"/>
      <c r="AA40" s="1"/>
      <c r="AB40" s="1"/>
      <c r="AC40" s="1"/>
      <c r="AD40" s="23"/>
      <c r="AE40" s="1"/>
      <c r="AF40" s="16"/>
      <c r="AG40" s="1"/>
      <c r="AH40" s="2"/>
      <c r="AI40" s="2"/>
      <c r="AJ40" s="2"/>
      <c r="AK40" s="2"/>
    </row>
    <row r="41" spans="1:37" ht="12.75" customHeight="1" x14ac:dyDescent="0.3">
      <c r="A41" s="1"/>
      <c r="B41" s="11"/>
      <c r="C41" s="17" t="s">
        <v>46</v>
      </c>
      <c r="D41" s="18"/>
      <c r="E41" s="18"/>
      <c r="F41" s="18"/>
      <c r="G41" s="19"/>
      <c r="H41" s="1"/>
      <c r="I41" s="50">
        <f>'MATRIZ COMPLETO PROPOSTA'!AL11</f>
        <v>179.67637426916221</v>
      </c>
      <c r="J41" s="1"/>
      <c r="K41" s="1"/>
      <c r="L41" s="1"/>
      <c r="M41" s="32"/>
      <c r="N41" s="1"/>
      <c r="O41" s="1"/>
      <c r="P41" s="1"/>
      <c r="Q41" s="26" t="s">
        <v>47</v>
      </c>
      <c r="R41" s="18"/>
      <c r="S41" s="18"/>
      <c r="T41" s="18"/>
      <c r="U41" s="19"/>
      <c r="V41" s="1"/>
      <c r="W41" s="266">
        <f>(W42-W39)*AD10*('MATRIZ COMPLETO PROPOSTA'!AW11/('MATRIZ COMPLETO PROPOSTA'!AF11+'MATRIZ COMPLETO PROPOSTA'!AW11))</f>
        <v>7387853.7700305125</v>
      </c>
      <c r="X41" s="266"/>
      <c r="Y41" s="266"/>
      <c r="Z41" s="266"/>
      <c r="AA41" s="1"/>
      <c r="AB41" s="1"/>
      <c r="AC41" s="1"/>
      <c r="AD41" s="23"/>
      <c r="AE41" s="1"/>
      <c r="AF41" s="16"/>
      <c r="AG41" s="1"/>
      <c r="AH41" s="2"/>
      <c r="AI41" s="2"/>
      <c r="AJ41" s="2"/>
      <c r="AK41" s="2"/>
    </row>
    <row r="42" spans="1:37" ht="12.75" customHeight="1" x14ac:dyDescent="0.3">
      <c r="A42" s="1"/>
      <c r="B42" s="11"/>
      <c r="C42" s="1"/>
      <c r="D42" s="1"/>
      <c r="E42" s="1"/>
      <c r="F42" s="1"/>
      <c r="G42" s="1"/>
      <c r="H42" s="1"/>
      <c r="I42" s="1"/>
      <c r="J42" s="1"/>
      <c r="K42" s="1"/>
      <c r="L42" s="1"/>
      <c r="M42" s="31"/>
      <c r="N42" s="1"/>
      <c r="O42" s="1"/>
      <c r="P42" s="1"/>
      <c r="Q42" s="17" t="s">
        <v>48</v>
      </c>
      <c r="R42" s="18"/>
      <c r="S42" s="18"/>
      <c r="T42" s="18"/>
      <c r="U42" s="19"/>
      <c r="V42" s="1"/>
      <c r="W42" s="267">
        <v>460147674</v>
      </c>
      <c r="X42" s="267"/>
      <c r="Y42" s="267"/>
      <c r="Z42" s="267"/>
      <c r="AA42" s="1"/>
      <c r="AB42" s="1"/>
      <c r="AC42" s="1"/>
      <c r="AD42" s="23"/>
      <c r="AE42" s="1"/>
      <c r="AF42" s="16"/>
      <c r="AG42" s="1"/>
      <c r="AH42" s="2"/>
      <c r="AI42" s="2"/>
      <c r="AJ42" s="2"/>
      <c r="AK42" s="2"/>
    </row>
    <row r="43" spans="1:37" ht="12.75" customHeight="1" x14ac:dyDescent="0.3">
      <c r="A43" s="1"/>
      <c r="B43" s="11"/>
      <c r="C43" s="17" t="s">
        <v>46</v>
      </c>
      <c r="D43" s="18"/>
      <c r="E43" s="18"/>
      <c r="F43" s="18"/>
      <c r="G43" s="19"/>
      <c r="H43" s="1"/>
      <c r="I43" s="50">
        <f>'MATRIZ COMPLETO PROPOSTA'!BD11/'MATRIZ COMPLETO PROPOSTA'!BC11</f>
        <v>5403.2040125139883</v>
      </c>
      <c r="J43" s="31"/>
      <c r="K43" s="31"/>
      <c r="L43" s="31"/>
      <c r="M43" s="31"/>
      <c r="N43" s="1"/>
      <c r="O43" s="1"/>
      <c r="P43" s="1"/>
      <c r="Q43" s="1"/>
      <c r="R43" s="1"/>
      <c r="S43" s="1"/>
      <c r="T43" s="1"/>
      <c r="U43" s="1"/>
      <c r="V43" s="1"/>
      <c r="W43" s="268" t="s">
        <v>49</v>
      </c>
      <c r="X43" s="268"/>
      <c r="Y43" s="268"/>
      <c r="Z43" s="268"/>
      <c r="AA43" s="1"/>
      <c r="AB43" s="1"/>
      <c r="AC43" s="1"/>
      <c r="AD43" s="23"/>
      <c r="AE43" s="1"/>
      <c r="AF43" s="16"/>
      <c r="AG43" s="1"/>
      <c r="AH43" s="2"/>
      <c r="AI43" s="2"/>
      <c r="AJ43" s="2"/>
      <c r="AK43" s="2"/>
    </row>
    <row r="44" spans="1:37" ht="12.75" customHeight="1" x14ac:dyDescent="0.3">
      <c r="A44" s="1"/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51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30"/>
      <c r="AG44" s="1"/>
      <c r="AH44" s="2"/>
      <c r="AI44" s="2"/>
      <c r="AJ44" s="2"/>
      <c r="AK44" s="2"/>
    </row>
    <row r="45" spans="1:37" ht="12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2"/>
      <c r="AI45" s="2"/>
      <c r="AJ45" s="2"/>
      <c r="AK45" s="2"/>
    </row>
    <row r="46" spans="1:37" ht="12.75" customHeight="1" x14ac:dyDescent="0.3">
      <c r="A46" s="1"/>
      <c r="B46" s="1"/>
      <c r="C46" s="7" t="s">
        <v>50</v>
      </c>
      <c r="D46" s="1"/>
      <c r="E46" s="1"/>
      <c r="F46" s="1"/>
      <c r="G46" s="1"/>
      <c r="H46" s="1"/>
      <c r="I46" s="1"/>
      <c r="J46" s="1"/>
      <c r="K46" s="7"/>
      <c r="L46" s="1"/>
      <c r="M46" s="3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2"/>
      <c r="AI46" s="2"/>
      <c r="AJ46" s="2"/>
      <c r="AK46" s="2"/>
    </row>
    <row r="47" spans="1:37" ht="12.75" customHeight="1" x14ac:dyDescent="0.3">
      <c r="A47" s="1"/>
      <c r="B47" s="52"/>
      <c r="C47" s="5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5">
        <v>2021</v>
      </c>
      <c r="R47" s="56"/>
      <c r="S47" s="56"/>
      <c r="T47" s="56"/>
      <c r="U47" s="55">
        <v>2022</v>
      </c>
      <c r="V47" s="55"/>
      <c r="W47" s="54"/>
      <c r="X47" s="54"/>
      <c r="Y47" s="54"/>
      <c r="Z47" s="54"/>
      <c r="AA47" s="55"/>
      <c r="AB47" s="54"/>
      <c r="AC47" s="54"/>
      <c r="AD47" s="54"/>
      <c r="AE47" s="54"/>
      <c r="AF47" s="57"/>
      <c r="AG47" s="1"/>
      <c r="AH47" s="2"/>
      <c r="AI47" s="2"/>
      <c r="AJ47" s="2"/>
      <c r="AK47" s="2"/>
    </row>
    <row r="48" spans="1:37" ht="12.75" customHeight="1" x14ac:dyDescent="0.3">
      <c r="A48" s="1"/>
      <c r="B48" s="58"/>
      <c r="C48" s="17" t="s">
        <v>51</v>
      </c>
      <c r="D48" s="18"/>
      <c r="E48" s="18"/>
      <c r="F48" s="18"/>
      <c r="G48" s="19"/>
      <c r="H48" s="1"/>
      <c r="I48" s="59">
        <f>I14</f>
        <v>0.14419668579097178</v>
      </c>
      <c r="J48" s="1"/>
      <c r="K48" s="1"/>
      <c r="L48" s="1"/>
      <c r="M48" s="1" t="s">
        <v>52</v>
      </c>
      <c r="N48" s="1"/>
      <c r="O48" s="1"/>
      <c r="P48" s="1"/>
      <c r="Q48" s="60">
        <f>Q62</f>
        <v>695973</v>
      </c>
      <c r="R48" s="1"/>
      <c r="S48" s="1"/>
      <c r="T48" s="1"/>
      <c r="U48" s="60">
        <f>U62</f>
        <v>796330</v>
      </c>
      <c r="V48" s="1"/>
      <c r="W48" s="1"/>
      <c r="X48" s="25"/>
      <c r="Y48" s="25"/>
      <c r="Z48" s="1"/>
      <c r="AA48" s="1"/>
      <c r="AB48" s="1"/>
      <c r="AC48" s="25"/>
      <c r="AD48" s="1"/>
      <c r="AE48" s="1"/>
      <c r="AF48" s="61"/>
      <c r="AG48" s="1"/>
      <c r="AH48" s="2"/>
      <c r="AI48" s="2"/>
      <c r="AJ48" s="2"/>
      <c r="AK48" s="2"/>
    </row>
    <row r="49" spans="1:37" ht="12.75" customHeight="1" x14ac:dyDescent="0.3">
      <c r="A49" s="1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4"/>
      <c r="AG49" s="1"/>
      <c r="AH49" s="2"/>
      <c r="AI49" s="2"/>
      <c r="AJ49" s="2"/>
      <c r="AK49" s="2"/>
    </row>
    <row r="50" spans="1:37" ht="12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2"/>
      <c r="AI50" s="2"/>
      <c r="AJ50" s="2"/>
      <c r="AK50" s="2"/>
    </row>
    <row r="51" spans="1:37" ht="12.75" customHeight="1" x14ac:dyDescent="0.3">
      <c r="A51" s="1"/>
      <c r="B51" s="1"/>
      <c r="C51" s="7" t="s">
        <v>53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2"/>
      <c r="AI51" s="2"/>
      <c r="AJ51" s="2"/>
      <c r="AK51" s="2"/>
    </row>
    <row r="52" spans="1:37" ht="12.75" customHeight="1" x14ac:dyDescent="0.3">
      <c r="A52" s="1"/>
      <c r="B52" s="52"/>
      <c r="C52" s="53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5">
        <v>2021</v>
      </c>
      <c r="R52" s="56"/>
      <c r="S52" s="56"/>
      <c r="T52" s="56"/>
      <c r="U52" s="55">
        <v>2022</v>
      </c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7"/>
      <c r="AG52" s="1"/>
      <c r="AH52" s="2"/>
      <c r="AI52" s="2"/>
      <c r="AJ52" s="2"/>
      <c r="AK52" s="2"/>
    </row>
    <row r="53" spans="1:37" ht="12.75" customHeight="1" x14ac:dyDescent="0.3">
      <c r="A53" s="1"/>
      <c r="B53" s="58"/>
      <c r="C53" s="17" t="s">
        <v>54</v>
      </c>
      <c r="D53" s="18"/>
      <c r="E53" s="18"/>
      <c r="F53" s="18"/>
      <c r="G53" s="19"/>
      <c r="H53" s="1"/>
      <c r="I53" s="59">
        <f>U53-Q53</f>
        <v>0</v>
      </c>
      <c r="J53" s="1"/>
      <c r="K53" s="1"/>
      <c r="L53" s="1"/>
      <c r="M53" s="1" t="s">
        <v>52</v>
      </c>
      <c r="N53" s="1"/>
      <c r="O53" s="1"/>
      <c r="P53" s="1"/>
      <c r="Q53" s="60"/>
      <c r="R53" s="1"/>
      <c r="S53" s="1"/>
      <c r="T53" s="1"/>
      <c r="U53" s="60">
        <f>U29</f>
        <v>0</v>
      </c>
      <c r="V53" s="65"/>
      <c r="W53" s="1"/>
      <c r="X53" s="1"/>
      <c r="Y53" s="66"/>
      <c r="Z53" s="66"/>
      <c r="AA53" s="66"/>
      <c r="AB53" s="66"/>
      <c r="AC53" s="66"/>
      <c r="AD53" s="66"/>
      <c r="AE53" s="1"/>
      <c r="AF53" s="61"/>
      <c r="AG53" s="1"/>
      <c r="AH53" s="2"/>
      <c r="AI53" s="2"/>
      <c r="AJ53" s="2"/>
      <c r="AK53" s="2"/>
    </row>
    <row r="54" spans="1:37" ht="12.75" customHeight="1" x14ac:dyDescent="0.3">
      <c r="A54" s="1"/>
      <c r="B54" s="58"/>
      <c r="C54" s="1"/>
      <c r="D54" s="1"/>
      <c r="E54" s="1"/>
      <c r="F54" s="1"/>
      <c r="G54" s="1"/>
      <c r="H54" s="1"/>
      <c r="I54" s="43"/>
      <c r="J54" s="25"/>
      <c r="K54" s="25"/>
      <c r="L54" s="1"/>
      <c r="M54" s="1"/>
      <c r="N54" s="1"/>
      <c r="O54" s="1"/>
      <c r="P54" s="1"/>
      <c r="Q54" s="67"/>
      <c r="R54" s="1"/>
      <c r="S54" s="68"/>
      <c r="T54" s="68"/>
      <c r="U54" s="67"/>
      <c r="V54" s="68"/>
      <c r="W54" s="68"/>
      <c r="X54" s="68"/>
      <c r="Y54" s="68"/>
      <c r="Z54" s="66"/>
      <c r="AA54" s="66"/>
      <c r="AB54" s="66"/>
      <c r="AC54" s="66"/>
      <c r="AD54" s="66"/>
      <c r="AE54" s="1"/>
      <c r="AF54" s="61"/>
      <c r="AG54" s="1"/>
      <c r="AH54" s="2"/>
      <c r="AI54" s="2"/>
      <c r="AJ54" s="2"/>
      <c r="AK54" s="2"/>
    </row>
    <row r="55" spans="1:37" ht="12.75" customHeight="1" x14ac:dyDescent="0.3">
      <c r="A55" s="1"/>
      <c r="B55" s="58"/>
      <c r="C55" s="17" t="s">
        <v>55</v>
      </c>
      <c r="D55" s="18"/>
      <c r="E55" s="18"/>
      <c r="F55" s="18"/>
      <c r="G55" s="19"/>
      <c r="H55" s="1"/>
      <c r="I55" s="59">
        <f>U55-Q55</f>
        <v>0</v>
      </c>
      <c r="J55" s="1"/>
      <c r="K55" s="1"/>
      <c r="L55" s="1"/>
      <c r="M55" s="1" t="s">
        <v>52</v>
      </c>
      <c r="N55" s="1"/>
      <c r="O55" s="1"/>
      <c r="P55" s="1"/>
      <c r="Q55" s="60"/>
      <c r="R55" s="1"/>
      <c r="S55" s="1"/>
      <c r="T55" s="1"/>
      <c r="U55" s="60">
        <f>U31</f>
        <v>0</v>
      </c>
      <c r="V55" s="65"/>
      <c r="W55" s="1"/>
      <c r="X55" s="1"/>
      <c r="Y55" s="66"/>
      <c r="Z55" s="66"/>
      <c r="AA55" s="66"/>
      <c r="AB55" s="66"/>
      <c r="AC55" s="66"/>
      <c r="AD55" s="66"/>
      <c r="AE55" s="1"/>
      <c r="AF55" s="61"/>
      <c r="AG55" s="1"/>
      <c r="AH55" s="2"/>
      <c r="AI55" s="2"/>
      <c r="AJ55" s="2"/>
      <c r="AK55" s="2"/>
    </row>
    <row r="56" spans="1:37" ht="12.75" customHeight="1" x14ac:dyDescent="0.3">
      <c r="A56" s="1"/>
      <c r="B56" s="62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4"/>
      <c r="AG56" s="1"/>
      <c r="AH56" s="2"/>
      <c r="AI56" s="2"/>
      <c r="AJ56" s="2"/>
      <c r="AK56" s="2"/>
    </row>
    <row r="57" spans="1:37" ht="12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2"/>
      <c r="AI57" s="2"/>
      <c r="AJ57" s="2"/>
      <c r="AK57" s="2"/>
    </row>
    <row r="58" spans="1:37" ht="12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2"/>
      <c r="AI58" s="2"/>
      <c r="AJ58" s="2"/>
      <c r="AK58" s="2"/>
    </row>
    <row r="59" spans="1:37" ht="12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2"/>
      <c r="AI59" s="2"/>
      <c r="AJ59" s="2"/>
      <c r="AK59" s="2"/>
    </row>
    <row r="60" spans="1:37" ht="12.75" customHeight="1" x14ac:dyDescent="0.3">
      <c r="A60" s="1"/>
      <c r="B60" s="1"/>
      <c r="C60" s="7" t="s">
        <v>56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2"/>
      <c r="AI60" s="2"/>
      <c r="AJ60" s="2"/>
      <c r="AK60" s="2"/>
    </row>
    <row r="61" spans="1:37" ht="12.75" customHeight="1" x14ac:dyDescent="0.3">
      <c r="A61" s="1"/>
      <c r="B61" s="52"/>
      <c r="C61" s="53"/>
      <c r="D61" s="54"/>
      <c r="E61" s="54"/>
      <c r="F61" s="54"/>
      <c r="G61" s="54"/>
      <c r="H61" s="54"/>
      <c r="I61" s="69"/>
      <c r="J61" s="54"/>
      <c r="K61" s="54"/>
      <c r="L61" s="54"/>
      <c r="M61" s="54"/>
      <c r="N61" s="54"/>
      <c r="O61" s="54"/>
      <c r="P61" s="54"/>
      <c r="Q61" s="70">
        <v>2021</v>
      </c>
      <c r="R61" s="54"/>
      <c r="S61" s="54"/>
      <c r="T61" s="54"/>
      <c r="U61" s="70">
        <v>2022</v>
      </c>
      <c r="V61" s="70"/>
      <c r="W61" s="54"/>
      <c r="X61" s="54"/>
      <c r="Y61" s="54"/>
      <c r="Z61" s="54"/>
      <c r="AA61" s="70"/>
      <c r="AB61" s="54"/>
      <c r="AC61" s="54"/>
      <c r="AD61" s="54"/>
      <c r="AE61" s="54"/>
      <c r="AF61" s="57"/>
      <c r="AG61" s="1"/>
      <c r="AH61" s="2"/>
      <c r="AI61" s="2"/>
      <c r="AJ61" s="2"/>
      <c r="AK61" s="2"/>
    </row>
    <row r="62" spans="1:37" ht="12.75" customHeight="1" x14ac:dyDescent="0.3">
      <c r="A62" s="1"/>
      <c r="B62" s="58"/>
      <c r="C62" s="17" t="s">
        <v>57</v>
      </c>
      <c r="D62" s="18"/>
      <c r="E62" s="18"/>
      <c r="F62" s="18"/>
      <c r="G62" s="19"/>
      <c r="H62" s="1"/>
      <c r="I62" s="71">
        <f>I14</f>
        <v>0.14419668579097178</v>
      </c>
      <c r="J62" s="1"/>
      <c r="K62" s="1"/>
      <c r="L62" s="1"/>
      <c r="M62" s="67" t="s">
        <v>58</v>
      </c>
      <c r="N62" s="1"/>
      <c r="O62" s="1"/>
      <c r="P62" s="1"/>
      <c r="Q62" s="72">
        <v>695973</v>
      </c>
      <c r="R62" s="1"/>
      <c r="S62" s="1"/>
      <c r="T62" s="1"/>
      <c r="U62" s="73">
        <f>'MATRIZ COMPLETO PROPOSTA'!AE11</f>
        <v>796330</v>
      </c>
      <c r="V62" s="1"/>
      <c r="W62" s="25"/>
      <c r="X62" s="25"/>
      <c r="Y62" s="25"/>
      <c r="Z62" s="1"/>
      <c r="AA62" s="1"/>
      <c r="AB62" s="25"/>
      <c r="AC62" s="25"/>
      <c r="AD62" s="74"/>
      <c r="AE62" s="1"/>
      <c r="AF62" s="61"/>
      <c r="AG62" s="1"/>
      <c r="AH62" s="2"/>
      <c r="AI62" s="2"/>
      <c r="AJ62" s="2"/>
      <c r="AK62" s="2"/>
    </row>
    <row r="63" spans="1:37" ht="12.75" customHeight="1" x14ac:dyDescent="0.3">
      <c r="A63" s="1"/>
      <c r="B63" s="58"/>
      <c r="C63" s="75" t="s">
        <v>59</v>
      </c>
      <c r="D63" s="76"/>
      <c r="E63" s="76"/>
      <c r="F63" s="76"/>
      <c r="G63" s="77"/>
      <c r="H63" s="1"/>
      <c r="I63" s="71">
        <f>I20</f>
        <v>3.9156626506024139E-2</v>
      </c>
      <c r="J63" s="1"/>
      <c r="K63" s="1"/>
      <c r="L63" s="1"/>
      <c r="M63" s="67" t="s">
        <v>60</v>
      </c>
      <c r="N63" s="1"/>
      <c r="O63" s="1"/>
      <c r="P63" s="1"/>
      <c r="Q63" s="72">
        <v>8964</v>
      </c>
      <c r="R63" s="1"/>
      <c r="S63" s="1"/>
      <c r="T63" s="1"/>
      <c r="U63" s="164">
        <f>'MATRIZ COMPLETO PROPOSTA'!BC11</f>
        <v>9315</v>
      </c>
      <c r="V63" s="1"/>
      <c r="W63" s="25"/>
      <c r="X63" s="25"/>
      <c r="Y63" s="1"/>
      <c r="Z63" s="74"/>
      <c r="AA63" s="1"/>
      <c r="AB63" s="25"/>
      <c r="AC63" s="25"/>
      <c r="AD63" s="74"/>
      <c r="AE63" s="1"/>
      <c r="AF63" s="61"/>
      <c r="AG63" s="1"/>
      <c r="AH63" s="2"/>
      <c r="AI63" s="2"/>
      <c r="AJ63" s="2"/>
      <c r="AK63" s="2"/>
    </row>
    <row r="64" spans="1:37" ht="12.75" customHeight="1" x14ac:dyDescent="0.3">
      <c r="A64" s="1"/>
      <c r="B64" s="58"/>
      <c r="C64" s="17" t="s">
        <v>61</v>
      </c>
      <c r="D64" s="18"/>
      <c r="E64" s="18"/>
      <c r="F64" s="18"/>
      <c r="G64" s="19"/>
      <c r="H64" s="1"/>
      <c r="I64" s="71">
        <f>I18</f>
        <v>3.655719981750015</v>
      </c>
      <c r="J64" s="1"/>
      <c r="K64" s="1"/>
      <c r="L64" s="1"/>
      <c r="M64" s="67" t="s">
        <v>62</v>
      </c>
      <c r="N64" s="1"/>
      <c r="O64" s="1"/>
      <c r="P64" s="1"/>
      <c r="Q64" s="72">
        <v>100822</v>
      </c>
      <c r="R64" s="1"/>
      <c r="S64" s="1"/>
      <c r="T64" s="1"/>
      <c r="U64" s="164">
        <f>'MATRIZ COMPLETO PROPOSTA'!AV11*4</f>
        <v>469399</v>
      </c>
      <c r="V64" s="1"/>
      <c r="W64" s="25"/>
      <c r="X64" s="25"/>
      <c r="Y64" s="1"/>
      <c r="Z64" s="66"/>
      <c r="AA64" s="1"/>
      <c r="AB64" s="25"/>
      <c r="AC64" s="25"/>
      <c r="AD64" s="74"/>
      <c r="AE64" s="1"/>
      <c r="AF64" s="61"/>
      <c r="AG64" s="1"/>
      <c r="AH64" s="2"/>
      <c r="AI64" s="2"/>
      <c r="AJ64" s="2"/>
      <c r="AK64" s="2"/>
    </row>
    <row r="65" spans="1:37" ht="12.75" customHeight="1" x14ac:dyDescent="0.3">
      <c r="A65" s="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4"/>
      <c r="AG65" s="1"/>
      <c r="AH65" s="2"/>
      <c r="AI65" s="2"/>
      <c r="AJ65" s="2"/>
      <c r="AK65" s="2"/>
    </row>
    <row r="66" spans="1:37" ht="12.75" customHeight="1" x14ac:dyDescent="0.3">
      <c r="A66" s="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4"/>
      <c r="AG66" s="1"/>
      <c r="AH66" s="2"/>
      <c r="AI66" s="2"/>
      <c r="AJ66" s="2"/>
      <c r="AK66" s="2"/>
    </row>
    <row r="67" spans="1:37" ht="12.75" customHeight="1" x14ac:dyDescent="0.3">
      <c r="A67" s="1"/>
      <c r="B67" s="62"/>
      <c r="C67" s="17" t="s">
        <v>63</v>
      </c>
      <c r="D67" s="18"/>
      <c r="E67" s="19"/>
      <c r="F67" s="63"/>
      <c r="G67" s="78" t="s">
        <v>64</v>
      </c>
      <c r="H67" s="78" t="s">
        <v>65</v>
      </c>
      <c r="I67" s="78" t="s">
        <v>66</v>
      </c>
      <c r="J67" s="261" t="s">
        <v>67</v>
      </c>
      <c r="K67" s="261"/>
      <c r="L67" s="261"/>
      <c r="M67" s="78" t="s">
        <v>68</v>
      </c>
      <c r="N67" s="261" t="s">
        <v>69</v>
      </c>
      <c r="O67" s="261"/>
      <c r="P67" s="261"/>
      <c r="Q67" s="261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4"/>
      <c r="AG67" s="1"/>
      <c r="AH67" s="2"/>
      <c r="AI67" s="2"/>
      <c r="AJ67" s="2"/>
      <c r="AK67" s="2"/>
    </row>
    <row r="68" spans="1:37" ht="12.75" customHeight="1" x14ac:dyDescent="0.3">
      <c r="A68" s="1"/>
      <c r="B68" s="62"/>
      <c r="C68" s="17" t="s">
        <v>70</v>
      </c>
      <c r="D68" s="18"/>
      <c r="E68" s="19"/>
      <c r="F68" s="63"/>
      <c r="G68" s="78">
        <v>2.5</v>
      </c>
      <c r="H68" s="78">
        <v>2</v>
      </c>
      <c r="I68" s="78">
        <v>1.5</v>
      </c>
      <c r="J68" s="261">
        <v>1</v>
      </c>
      <c r="K68" s="261"/>
      <c r="L68" s="261"/>
      <c r="M68" s="78">
        <v>0.5</v>
      </c>
      <c r="N68" s="261">
        <v>0</v>
      </c>
      <c r="O68" s="261"/>
      <c r="P68" s="261"/>
      <c r="Q68" s="261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4"/>
      <c r="AG68" s="1"/>
      <c r="AH68" s="2"/>
      <c r="AI68" s="2"/>
      <c r="AJ68" s="2"/>
      <c r="AK68" s="2"/>
    </row>
    <row r="69" spans="1:37" ht="12.75" customHeight="1" x14ac:dyDescent="0.3">
      <c r="A69" s="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4"/>
      <c r="AG69" s="1"/>
      <c r="AH69" s="2"/>
      <c r="AI69" s="2"/>
      <c r="AJ69" s="2"/>
      <c r="AK69" s="2"/>
    </row>
    <row r="70" spans="1:37" ht="12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2"/>
      <c r="AI70" s="2"/>
      <c r="AJ70" s="2"/>
      <c r="AK70" s="2"/>
    </row>
    <row r="71" spans="1:37" ht="12.75" customHeight="1" x14ac:dyDescent="0.3">
      <c r="A71" s="1"/>
      <c r="B71" s="1"/>
      <c r="C71" s="7" t="s">
        <v>71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2"/>
      <c r="AI71" s="2"/>
      <c r="AJ71" s="2"/>
      <c r="AK71" s="2"/>
    </row>
    <row r="72" spans="1:37" ht="12.75" customHeight="1" x14ac:dyDescent="0.3">
      <c r="A72" s="1"/>
      <c r="B72" s="8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10"/>
      <c r="AG72" s="1"/>
      <c r="AH72" s="2"/>
      <c r="AI72" s="2"/>
      <c r="AJ72" s="2"/>
      <c r="AK72" s="2"/>
    </row>
    <row r="73" spans="1:37" ht="17.850000000000001" customHeight="1" x14ac:dyDescent="0.3">
      <c r="A73" s="1"/>
      <c r="B73" s="11"/>
      <c r="C73" s="1"/>
      <c r="D73" s="256" t="s">
        <v>24</v>
      </c>
      <c r="E73" s="256"/>
      <c r="F73" s="256"/>
      <c r="G73" s="256"/>
      <c r="H73" s="256"/>
      <c r="I73" s="1"/>
      <c r="J73" s="265">
        <f>I78+I83+I88</f>
        <v>0.1</v>
      </c>
      <c r="K73" s="265"/>
      <c r="L73" s="265"/>
      <c r="M73" s="265"/>
      <c r="N73" s="1"/>
      <c r="O73" s="1"/>
      <c r="P73" s="1"/>
      <c r="Q73" s="259" t="s">
        <v>72</v>
      </c>
      <c r="R73" s="259"/>
      <c r="S73" s="259"/>
      <c r="T73" s="259"/>
      <c r="U73" s="259"/>
      <c r="V73" s="260" t="s">
        <v>73</v>
      </c>
      <c r="W73" s="260"/>
      <c r="X73" s="260"/>
      <c r="Y73" s="260"/>
      <c r="Z73" s="1"/>
      <c r="AA73" s="1"/>
      <c r="AB73" s="1"/>
      <c r="AC73" s="1"/>
      <c r="AD73" s="1"/>
      <c r="AE73" s="1"/>
      <c r="AF73" s="16"/>
      <c r="AG73" s="1"/>
      <c r="AH73" s="2"/>
      <c r="AI73" s="2"/>
      <c r="AJ73" s="2"/>
      <c r="AK73" s="2"/>
    </row>
    <row r="74" spans="1:37" ht="17.850000000000001" customHeight="1" x14ac:dyDescent="0.3">
      <c r="A74" s="1"/>
      <c r="B74" s="11"/>
      <c r="C74" s="1"/>
      <c r="D74" s="256" t="s">
        <v>74</v>
      </c>
      <c r="E74" s="256"/>
      <c r="F74" s="256"/>
      <c r="G74" s="256"/>
      <c r="H74" s="256"/>
      <c r="I74" s="1"/>
      <c r="J74" s="258">
        <f>(I27-W42)*J73</f>
        <v>166092866.132</v>
      </c>
      <c r="K74" s="258"/>
      <c r="L74" s="258"/>
      <c r="M74" s="258"/>
      <c r="N74" s="1"/>
      <c r="O74" s="1"/>
      <c r="P74" s="1"/>
      <c r="Q74" s="79" t="s">
        <v>75</v>
      </c>
      <c r="R74" s="80"/>
      <c r="S74" s="80"/>
      <c r="T74" s="80"/>
      <c r="U74" s="79" t="s">
        <v>76</v>
      </c>
      <c r="V74" s="260"/>
      <c r="W74" s="260"/>
      <c r="X74" s="260"/>
      <c r="Y74" s="260"/>
      <c r="Z74" s="1"/>
      <c r="AA74" s="1"/>
      <c r="AB74" s="1"/>
      <c r="AC74" s="1"/>
      <c r="AD74" s="1"/>
      <c r="AE74" s="1"/>
      <c r="AF74" s="16"/>
      <c r="AG74" s="1"/>
      <c r="AH74" s="2"/>
      <c r="AI74" s="2"/>
      <c r="AJ74" s="2"/>
      <c r="AK74" s="2"/>
    </row>
    <row r="75" spans="1:37" x14ac:dyDescent="0.3">
      <c r="A75" s="1"/>
      <c r="B75" s="1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81">
        <v>0</v>
      </c>
      <c r="R75" s="12"/>
      <c r="S75" s="12"/>
      <c r="T75" s="12"/>
      <c r="U75" s="81">
        <v>0.42359999999999998</v>
      </c>
      <c r="V75" s="262">
        <v>0.5</v>
      </c>
      <c r="W75" s="262"/>
      <c r="X75" s="262"/>
      <c r="Y75" s="262"/>
      <c r="Z75" s="1"/>
      <c r="AA75" s="1"/>
      <c r="AB75" s="1"/>
      <c r="AC75" s="1"/>
      <c r="AD75" s="1"/>
      <c r="AE75" s="1"/>
      <c r="AF75" s="16"/>
      <c r="AG75" s="1"/>
      <c r="AH75" s="2"/>
      <c r="AI75" s="2"/>
      <c r="AJ75" s="2"/>
      <c r="AK75" s="2"/>
    </row>
    <row r="76" spans="1:37" ht="12.75" customHeight="1" x14ac:dyDescent="0.3">
      <c r="A76" s="1"/>
      <c r="B76" s="1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81">
        <f>U75</f>
        <v>0.42359999999999998</v>
      </c>
      <c r="R76" s="12"/>
      <c r="S76" s="12"/>
      <c r="T76" s="12"/>
      <c r="U76" s="81">
        <v>0.47070000000000001</v>
      </c>
      <c r="V76" s="262">
        <v>1</v>
      </c>
      <c r="W76" s="262"/>
      <c r="X76" s="262"/>
      <c r="Y76" s="262"/>
      <c r="Z76" s="1"/>
      <c r="AA76" s="1"/>
      <c r="AB76" s="1"/>
      <c r="AC76" s="1"/>
      <c r="AD76" s="1"/>
      <c r="AE76" s="1"/>
      <c r="AF76" s="16"/>
      <c r="AG76" s="1"/>
      <c r="AH76" s="2"/>
      <c r="AI76" s="2"/>
      <c r="AJ76" s="2"/>
      <c r="AK76" s="2"/>
    </row>
    <row r="77" spans="1:37" ht="12.75" customHeight="1" x14ac:dyDescent="0.3">
      <c r="A77" s="1"/>
      <c r="B77" s="11"/>
      <c r="C77" s="1" t="s">
        <v>77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81">
        <f>U76</f>
        <v>0.47070000000000001</v>
      </c>
      <c r="R77" s="12"/>
      <c r="S77" s="12"/>
      <c r="T77" s="12"/>
      <c r="U77" s="81">
        <v>0.51780000000000004</v>
      </c>
      <c r="V77" s="262">
        <v>1.5</v>
      </c>
      <c r="W77" s="262"/>
      <c r="X77" s="262"/>
      <c r="Y77" s="262"/>
      <c r="Z77" s="1"/>
      <c r="AA77" s="1"/>
      <c r="AB77" s="1"/>
      <c r="AC77" s="1"/>
      <c r="AD77" s="1"/>
      <c r="AE77" s="1"/>
      <c r="AF77" s="16"/>
      <c r="AG77" s="1"/>
      <c r="AH77" s="2"/>
      <c r="AI77" s="2"/>
      <c r="AJ77" s="2"/>
      <c r="AK77" s="2"/>
    </row>
    <row r="78" spans="1:37" ht="12.75" customHeight="1" x14ac:dyDescent="0.3">
      <c r="A78" s="1"/>
      <c r="B78" s="11"/>
      <c r="C78" s="1"/>
      <c r="D78" s="17" t="s">
        <v>78</v>
      </c>
      <c r="E78" s="18"/>
      <c r="F78" s="18"/>
      <c r="G78" s="19"/>
      <c r="H78" s="1"/>
      <c r="I78" s="20">
        <v>2.5000000000000001E-2</v>
      </c>
      <c r="J78" s="1"/>
      <c r="K78" s="82" t="s">
        <v>79</v>
      </c>
      <c r="L78" s="1"/>
      <c r="M78" s="20">
        <v>0.47199999999999998</v>
      </c>
      <c r="N78" s="1"/>
      <c r="O78" s="1"/>
      <c r="P78" s="1"/>
      <c r="Q78" s="81">
        <f>U77</f>
        <v>0.51780000000000004</v>
      </c>
      <c r="R78" s="12"/>
      <c r="S78" s="12"/>
      <c r="T78" s="12"/>
      <c r="U78" s="81">
        <v>0.56479999999999997</v>
      </c>
      <c r="V78" s="263">
        <v>2</v>
      </c>
      <c r="W78" s="263"/>
      <c r="X78" s="263"/>
      <c r="Y78" s="263"/>
      <c r="Z78" s="1"/>
      <c r="AA78" s="1"/>
      <c r="AB78" s="1"/>
      <c r="AC78" s="1"/>
      <c r="AD78" s="1"/>
      <c r="AE78" s="1"/>
      <c r="AF78" s="16"/>
      <c r="AG78" s="1"/>
      <c r="AH78" s="2"/>
      <c r="AI78" s="2"/>
      <c r="AJ78" s="2"/>
      <c r="AK78" s="2"/>
    </row>
    <row r="79" spans="1:37" ht="12.75" customHeight="1" x14ac:dyDescent="0.3">
      <c r="A79" s="1"/>
      <c r="B79" s="11"/>
      <c r="C79" s="1"/>
      <c r="D79" s="17" t="s">
        <v>80</v>
      </c>
      <c r="E79" s="18"/>
      <c r="F79" s="18"/>
      <c r="G79" s="19"/>
      <c r="H79" s="1"/>
      <c r="I79" s="50">
        <f>(I$27-W$42)*I78</f>
        <v>41523216.533</v>
      </c>
      <c r="J79" s="1"/>
      <c r="K79" s="1"/>
      <c r="L79" s="1"/>
      <c r="M79" s="1"/>
      <c r="N79" s="1"/>
      <c r="O79" s="1"/>
      <c r="P79" s="1"/>
      <c r="Q79" s="81">
        <f>U78</f>
        <v>0.56479999999999997</v>
      </c>
      <c r="R79" s="1"/>
      <c r="S79" s="1"/>
      <c r="T79" s="1"/>
      <c r="U79" s="207">
        <v>1</v>
      </c>
      <c r="V79" s="262">
        <v>2.5</v>
      </c>
      <c r="W79" s="262"/>
      <c r="X79" s="262"/>
      <c r="Y79" s="262"/>
      <c r="Z79" s="1"/>
      <c r="AA79" s="1"/>
      <c r="AB79" s="1"/>
      <c r="AC79" s="1"/>
      <c r="AD79" s="1"/>
      <c r="AE79" s="1"/>
      <c r="AF79" s="16"/>
      <c r="AG79" s="1"/>
      <c r="AH79" s="2"/>
      <c r="AI79" s="2"/>
      <c r="AJ79" s="2"/>
      <c r="AK79" s="2"/>
    </row>
    <row r="80" spans="1:37" ht="12.75" customHeight="1" x14ac:dyDescent="0.3">
      <c r="A80" s="1"/>
      <c r="B80" s="11"/>
      <c r="C80" s="1"/>
      <c r="D80" s="1"/>
      <c r="E80" s="1"/>
      <c r="F80" s="1"/>
      <c r="G80" s="1"/>
      <c r="H80" s="1"/>
      <c r="I80" s="2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6"/>
      <c r="AG80" s="1"/>
      <c r="AH80" s="2"/>
      <c r="AI80" s="2"/>
      <c r="AJ80" s="2"/>
      <c r="AK80" s="2"/>
    </row>
    <row r="81" spans="1:37" ht="12.75" customHeight="1" x14ac:dyDescent="0.3">
      <c r="A81" s="1"/>
      <c r="B81" s="11"/>
      <c r="C81" s="1"/>
      <c r="D81" s="1"/>
      <c r="E81" s="1"/>
      <c r="F81" s="1"/>
      <c r="G81" s="1"/>
      <c r="H81" s="1"/>
      <c r="I81" s="2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6"/>
      <c r="AG81" s="1"/>
      <c r="AH81" s="2"/>
      <c r="AI81" s="2"/>
      <c r="AJ81" s="2"/>
      <c r="AK81" s="2"/>
    </row>
    <row r="82" spans="1:37" ht="12.75" customHeight="1" x14ac:dyDescent="0.3">
      <c r="A82" s="1"/>
      <c r="B82" s="11"/>
      <c r="C82" s="1" t="s">
        <v>19</v>
      </c>
      <c r="D82" s="1"/>
      <c r="E82" s="1"/>
      <c r="F82" s="1"/>
      <c r="G82" s="1"/>
      <c r="H82" s="1"/>
      <c r="I82" s="2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6"/>
      <c r="AG82" s="1"/>
      <c r="AH82" s="2"/>
      <c r="AI82" s="2"/>
      <c r="AJ82" s="2"/>
      <c r="AK82" s="2"/>
    </row>
    <row r="83" spans="1:37" ht="12.75" customHeight="1" x14ac:dyDescent="0.3">
      <c r="A83" s="1"/>
      <c r="B83" s="11"/>
      <c r="C83" s="1"/>
      <c r="D83" s="17" t="s">
        <v>78</v>
      </c>
      <c r="E83" s="18"/>
      <c r="F83" s="18"/>
      <c r="G83" s="19"/>
      <c r="H83" s="1"/>
      <c r="I83" s="20">
        <v>2.5000000000000001E-2</v>
      </c>
      <c r="J83" s="1"/>
      <c r="K83" s="1"/>
      <c r="L83" s="1"/>
      <c r="M83" s="264" t="s">
        <v>81</v>
      </c>
      <c r="N83" s="264"/>
      <c r="O83" s="264"/>
      <c r="P83" s="264"/>
      <c r="Q83" s="264"/>
      <c r="R83" s="264"/>
      <c r="S83" s="264"/>
      <c r="T83" s="264"/>
      <c r="U83" s="264"/>
      <c r="V83" s="264"/>
      <c r="W83" s="264"/>
      <c r="X83" s="264"/>
      <c r="Y83" s="264"/>
      <c r="Z83" s="264"/>
      <c r="AA83" s="264"/>
      <c r="AB83" s="264"/>
      <c r="AC83" s="264"/>
      <c r="AD83" s="1"/>
      <c r="AE83" s="1"/>
      <c r="AF83" s="16"/>
      <c r="AG83" s="1"/>
      <c r="AH83" s="2"/>
      <c r="AI83" s="2"/>
      <c r="AJ83" s="2"/>
      <c r="AK83" s="2"/>
    </row>
    <row r="84" spans="1:37" ht="12.75" customHeight="1" x14ac:dyDescent="0.3">
      <c r="A84" s="1"/>
      <c r="B84" s="11"/>
      <c r="C84" s="1"/>
      <c r="D84" s="17" t="s">
        <v>80</v>
      </c>
      <c r="E84" s="18"/>
      <c r="F84" s="18"/>
      <c r="G84" s="19"/>
      <c r="H84" s="1"/>
      <c r="I84" s="50">
        <f>(I$27-W$42)*I83</f>
        <v>41523216.533</v>
      </c>
      <c r="J84" s="1"/>
      <c r="K84" s="1"/>
      <c r="L84" s="1"/>
      <c r="M84" s="79" t="s">
        <v>82</v>
      </c>
      <c r="N84" s="260" t="s">
        <v>73</v>
      </c>
      <c r="O84" s="260"/>
      <c r="P84" s="260"/>
      <c r="Q84" s="79"/>
      <c r="R84" s="260" t="s">
        <v>73</v>
      </c>
      <c r="S84" s="260"/>
      <c r="T84" s="260"/>
      <c r="U84" s="79" t="s">
        <v>83</v>
      </c>
      <c r="V84" s="260" t="s">
        <v>73</v>
      </c>
      <c r="W84" s="260"/>
      <c r="X84" s="260"/>
      <c r="Y84" s="260"/>
      <c r="Z84" s="79" t="s">
        <v>83</v>
      </c>
      <c r="AA84" s="260" t="s">
        <v>73</v>
      </c>
      <c r="AB84" s="260"/>
      <c r="AC84" s="260"/>
      <c r="AD84" s="1"/>
      <c r="AE84" s="1"/>
      <c r="AF84" s="16"/>
      <c r="AG84" s="1"/>
      <c r="AH84" s="2"/>
      <c r="AI84" s="2"/>
      <c r="AJ84" s="2"/>
      <c r="AK84" s="2"/>
    </row>
    <row r="85" spans="1:37" ht="12.75" customHeight="1" x14ac:dyDescent="0.3">
      <c r="A85" s="1"/>
      <c r="B85" s="11"/>
      <c r="C85" s="1"/>
      <c r="D85" s="1"/>
      <c r="E85" s="1"/>
      <c r="F85" s="1"/>
      <c r="G85" s="1"/>
      <c r="H85" s="1"/>
      <c r="I85" s="1"/>
      <c r="J85" s="1"/>
      <c r="K85" s="1"/>
      <c r="L85" s="1"/>
      <c r="M85" s="81" t="s">
        <v>84</v>
      </c>
      <c r="N85" s="255">
        <v>0.7</v>
      </c>
      <c r="O85" s="255"/>
      <c r="P85" s="255"/>
      <c r="Q85" s="81">
        <v>0</v>
      </c>
      <c r="R85" s="255">
        <v>0</v>
      </c>
      <c r="S85" s="255"/>
      <c r="T85" s="255"/>
      <c r="U85" s="81">
        <v>0.5</v>
      </c>
      <c r="V85" s="255">
        <v>1</v>
      </c>
      <c r="W85" s="255"/>
      <c r="X85" s="255"/>
      <c r="Y85" s="255"/>
      <c r="Z85" s="81">
        <v>0.6</v>
      </c>
      <c r="AA85" s="255">
        <v>2</v>
      </c>
      <c r="AB85" s="255"/>
      <c r="AC85" s="255"/>
      <c r="AD85" s="1"/>
      <c r="AE85" s="1"/>
      <c r="AF85" s="16"/>
      <c r="AG85" s="1"/>
      <c r="AH85" s="2"/>
      <c r="AI85" s="2"/>
      <c r="AJ85" s="2"/>
      <c r="AK85" s="2"/>
    </row>
    <row r="86" spans="1:37" ht="12.75" customHeight="1" x14ac:dyDescent="0.3">
      <c r="A86" s="1"/>
      <c r="B86" s="11"/>
      <c r="C86" s="1"/>
      <c r="D86" s="1"/>
      <c r="E86" s="1"/>
      <c r="F86" s="1"/>
      <c r="G86" s="1"/>
      <c r="H86" s="1"/>
      <c r="I86" s="1"/>
      <c r="J86" s="1"/>
      <c r="K86" s="1"/>
      <c r="L86" s="1"/>
      <c r="M86" s="81" t="s">
        <v>85</v>
      </c>
      <c r="N86" s="255">
        <v>0.2</v>
      </c>
      <c r="O86" s="255"/>
      <c r="P86" s="255"/>
      <c r="Q86" s="81">
        <v>0.1</v>
      </c>
      <c r="R86" s="255">
        <v>1</v>
      </c>
      <c r="S86" s="255"/>
      <c r="T86" s="255"/>
      <c r="U86" s="81">
        <v>0.15</v>
      </c>
      <c r="V86" s="255">
        <v>2</v>
      </c>
      <c r="W86" s="255"/>
      <c r="X86" s="255"/>
      <c r="Y86" s="255"/>
      <c r="Z86" s="81">
        <v>0.2</v>
      </c>
      <c r="AA86" s="255">
        <v>2.5</v>
      </c>
      <c r="AB86" s="255"/>
      <c r="AC86" s="255"/>
      <c r="AD86" s="1"/>
      <c r="AE86" s="1"/>
      <c r="AF86" s="16"/>
      <c r="AG86" s="1"/>
      <c r="AH86" s="2"/>
      <c r="AI86" s="2"/>
      <c r="AJ86" s="2"/>
      <c r="AK86" s="2"/>
    </row>
    <row r="87" spans="1:37" ht="12.75" customHeight="1" x14ac:dyDescent="0.3">
      <c r="A87" s="1"/>
      <c r="B87" s="11"/>
      <c r="C87" s="13" t="s">
        <v>86</v>
      </c>
      <c r="D87" s="65"/>
      <c r="E87" s="1"/>
      <c r="F87" s="1"/>
      <c r="G87" s="1"/>
      <c r="H87" s="1"/>
      <c r="I87" s="1"/>
      <c r="J87" s="1"/>
      <c r="K87" s="1"/>
      <c r="L87" s="1"/>
      <c r="M87" s="81" t="s">
        <v>87</v>
      </c>
      <c r="N87" s="255">
        <v>0.1</v>
      </c>
      <c r="O87" s="255"/>
      <c r="P87" s="255"/>
      <c r="Q87" s="81">
        <v>2.5000000000000001E-2</v>
      </c>
      <c r="R87" s="255">
        <v>1</v>
      </c>
      <c r="S87" s="255"/>
      <c r="T87" s="255"/>
      <c r="U87" s="81">
        <v>0.05</v>
      </c>
      <c r="V87" s="255">
        <v>2</v>
      </c>
      <c r="W87" s="255"/>
      <c r="X87" s="255"/>
      <c r="Y87" s="255"/>
      <c r="Z87" s="81">
        <v>0.1</v>
      </c>
      <c r="AA87" s="255">
        <v>2.5</v>
      </c>
      <c r="AB87" s="255"/>
      <c r="AC87" s="255"/>
      <c r="AD87" s="1"/>
      <c r="AE87" s="1"/>
      <c r="AF87" s="16"/>
      <c r="AG87" s="1"/>
      <c r="AH87" s="2"/>
      <c r="AI87" s="2"/>
      <c r="AJ87" s="2"/>
      <c r="AK87" s="2"/>
    </row>
    <row r="88" spans="1:37" ht="12.75" customHeight="1" x14ac:dyDescent="0.3">
      <c r="A88" s="1"/>
      <c r="B88" s="11"/>
      <c r="C88" s="1"/>
      <c r="D88" s="17" t="s">
        <v>78</v>
      </c>
      <c r="E88" s="18"/>
      <c r="F88" s="18"/>
      <c r="G88" s="19"/>
      <c r="H88" s="1"/>
      <c r="I88" s="20">
        <v>0.05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6"/>
      <c r="AG88" s="1"/>
      <c r="AH88" s="2"/>
      <c r="AI88" s="2"/>
      <c r="AJ88" s="2"/>
      <c r="AK88" s="2"/>
    </row>
    <row r="89" spans="1:37" ht="12.75" customHeight="1" x14ac:dyDescent="0.3">
      <c r="A89" s="1"/>
      <c r="B89" s="11"/>
      <c r="C89" s="1"/>
      <c r="D89" s="17" t="s">
        <v>80</v>
      </c>
      <c r="E89" s="18"/>
      <c r="F89" s="18"/>
      <c r="G89" s="19"/>
      <c r="H89" s="1"/>
      <c r="I89" s="50">
        <f>(I$27-W$42)*I88</f>
        <v>83046433.066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6"/>
      <c r="AG89" s="1"/>
      <c r="AH89" s="2"/>
      <c r="AI89" s="2"/>
      <c r="AJ89" s="2"/>
      <c r="AK89" s="2"/>
    </row>
    <row r="90" spans="1:37" ht="12.75" customHeight="1" x14ac:dyDescent="0.3">
      <c r="A90" s="1"/>
      <c r="B90" s="1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59" t="s">
        <v>88</v>
      </c>
      <c r="R90" s="259"/>
      <c r="S90" s="259"/>
      <c r="T90" s="259"/>
      <c r="U90" s="259"/>
      <c r="V90" s="260" t="s">
        <v>73</v>
      </c>
      <c r="W90" s="260"/>
      <c r="X90" s="260"/>
      <c r="Y90" s="260"/>
      <c r="Z90" s="1"/>
      <c r="AA90" s="1"/>
      <c r="AB90" s="1"/>
      <c r="AC90" s="1"/>
      <c r="AD90" s="1"/>
      <c r="AE90" s="1"/>
      <c r="AF90" s="16"/>
      <c r="AG90" s="1"/>
      <c r="AH90" s="2"/>
      <c r="AI90" s="2"/>
      <c r="AJ90" s="2"/>
      <c r="AK90" s="2"/>
    </row>
    <row r="91" spans="1:37" ht="12.75" customHeight="1" x14ac:dyDescent="0.3">
      <c r="A91" s="1"/>
      <c r="B91" s="1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79" t="s">
        <v>75</v>
      </c>
      <c r="R91" s="80"/>
      <c r="S91" s="80"/>
      <c r="T91" s="80"/>
      <c r="U91" s="79" t="s">
        <v>76</v>
      </c>
      <c r="V91" s="260"/>
      <c r="W91" s="260"/>
      <c r="X91" s="260"/>
      <c r="Y91" s="260"/>
      <c r="Z91" s="1"/>
      <c r="AA91" s="1"/>
      <c r="AB91" s="1"/>
      <c r="AC91" s="1"/>
      <c r="AD91" s="1"/>
      <c r="AE91" s="1"/>
      <c r="AF91" s="16"/>
      <c r="AG91" s="1"/>
      <c r="AH91" s="2"/>
      <c r="AI91" s="2"/>
      <c r="AJ91" s="2"/>
      <c r="AK91" s="2"/>
    </row>
    <row r="92" spans="1:37" ht="12.75" customHeight="1" x14ac:dyDescent="0.3">
      <c r="A92" s="1"/>
      <c r="B92" s="11"/>
      <c r="C92" s="1"/>
      <c r="D92" s="256" t="s">
        <v>89</v>
      </c>
      <c r="E92" s="256"/>
      <c r="F92" s="256"/>
      <c r="G92" s="256"/>
      <c r="H92" s="256"/>
      <c r="I92" s="1"/>
      <c r="J92" s="257">
        <v>0.1</v>
      </c>
      <c r="K92" s="257"/>
      <c r="L92" s="257"/>
      <c r="M92" s="257"/>
      <c r="N92" s="1"/>
      <c r="O92" s="1"/>
      <c r="P92" s="1"/>
      <c r="Q92" s="83">
        <v>0</v>
      </c>
      <c r="R92" s="31"/>
      <c r="S92" s="31"/>
      <c r="T92" s="31"/>
      <c r="U92" s="83">
        <v>18</v>
      </c>
      <c r="V92" s="255">
        <v>0</v>
      </c>
      <c r="W92" s="255"/>
      <c r="X92" s="255"/>
      <c r="Y92" s="255"/>
      <c r="Z92" s="1"/>
      <c r="AA92" s="1"/>
      <c r="AB92" s="1"/>
      <c r="AC92" s="1"/>
      <c r="AD92" s="1"/>
      <c r="AE92" s="1"/>
      <c r="AF92" s="16"/>
      <c r="AG92" s="1"/>
      <c r="AH92" s="2"/>
      <c r="AI92" s="2"/>
      <c r="AJ92" s="2"/>
      <c r="AK92" s="2"/>
    </row>
    <row r="93" spans="1:37" ht="12.75" customHeight="1" x14ac:dyDescent="0.3">
      <c r="A93" s="1"/>
      <c r="B93" s="11"/>
      <c r="C93" s="1"/>
      <c r="D93" s="256" t="s">
        <v>90</v>
      </c>
      <c r="E93" s="256"/>
      <c r="F93" s="256"/>
      <c r="G93" s="256"/>
      <c r="H93" s="256"/>
      <c r="I93" s="1"/>
      <c r="J93" s="258">
        <f>($I$27-$W$42)*J92</f>
        <v>166092866.132</v>
      </c>
      <c r="K93" s="258"/>
      <c r="L93" s="258"/>
      <c r="M93" s="258"/>
      <c r="N93" s="1"/>
      <c r="O93" s="1"/>
      <c r="P93" s="1"/>
      <c r="Q93" s="83">
        <v>18</v>
      </c>
      <c r="R93" s="31"/>
      <c r="S93" s="31"/>
      <c r="T93" s="31"/>
      <c r="U93" s="83">
        <v>20</v>
      </c>
      <c r="V93" s="255">
        <v>1</v>
      </c>
      <c r="W93" s="255"/>
      <c r="X93" s="255"/>
      <c r="Y93" s="255"/>
      <c r="Z93" s="1"/>
      <c r="AA93" s="1"/>
      <c r="AB93" s="1"/>
      <c r="AC93" s="1"/>
      <c r="AD93" s="1"/>
      <c r="AE93" s="1"/>
      <c r="AF93" s="16"/>
      <c r="AG93" s="1"/>
      <c r="AH93" s="2"/>
      <c r="AI93" s="2"/>
      <c r="AJ93" s="2"/>
      <c r="AK93" s="2"/>
    </row>
    <row r="94" spans="1:37" ht="12.75" customHeight="1" x14ac:dyDescent="0.3">
      <c r="A94" s="1"/>
      <c r="B94" s="1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83">
        <v>20</v>
      </c>
      <c r="R94" s="31"/>
      <c r="S94" s="31"/>
      <c r="T94" s="31"/>
      <c r="U94" s="83">
        <v>22</v>
      </c>
      <c r="V94" s="255">
        <v>2</v>
      </c>
      <c r="W94" s="255"/>
      <c r="X94" s="255"/>
      <c r="Y94" s="255"/>
      <c r="Z94" s="1"/>
      <c r="AA94" s="1"/>
      <c r="AB94" s="1"/>
      <c r="AC94" s="1"/>
      <c r="AD94" s="1"/>
      <c r="AE94" s="1"/>
      <c r="AF94" s="16"/>
      <c r="AG94" s="1"/>
      <c r="AH94" s="2"/>
      <c r="AI94" s="2"/>
      <c r="AJ94" s="2"/>
      <c r="AK94" s="2"/>
    </row>
    <row r="95" spans="1:37" ht="12.75" customHeight="1" x14ac:dyDescent="0.3">
      <c r="A95" s="1"/>
      <c r="B95" s="1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83">
        <v>22</v>
      </c>
      <c r="R95" s="31"/>
      <c r="S95" s="31"/>
      <c r="T95" s="31"/>
      <c r="U95" s="83">
        <v>100</v>
      </c>
      <c r="V95" s="255">
        <v>2.5</v>
      </c>
      <c r="W95" s="255"/>
      <c r="X95" s="255"/>
      <c r="Y95" s="255"/>
      <c r="Z95" s="1"/>
      <c r="AA95" s="1"/>
      <c r="AB95" s="1"/>
      <c r="AC95" s="1"/>
      <c r="AD95" s="1"/>
      <c r="AE95" s="1"/>
      <c r="AF95" s="16"/>
      <c r="AG95" s="1"/>
      <c r="AH95" s="2"/>
      <c r="AI95" s="2"/>
      <c r="AJ95" s="2"/>
      <c r="AK95" s="2"/>
    </row>
    <row r="96" spans="1:37" ht="12.75" customHeight="1" x14ac:dyDescent="0.3">
      <c r="A96" s="1"/>
      <c r="B96" s="1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6"/>
      <c r="AG96" s="1"/>
      <c r="AH96" s="2"/>
      <c r="AI96" s="2"/>
      <c r="AJ96" s="2"/>
      <c r="AK96" s="2"/>
    </row>
    <row r="97" spans="1:37" ht="12.75" customHeight="1" x14ac:dyDescent="0.3">
      <c r="A97" s="1"/>
      <c r="B97" s="28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30"/>
      <c r="AG97" s="1"/>
      <c r="AH97" s="2"/>
      <c r="AI97" s="2"/>
      <c r="AJ97" s="2"/>
      <c r="AK97" s="2"/>
    </row>
    <row r="98" spans="1:37" ht="12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2"/>
      <c r="AI98" s="2"/>
      <c r="AJ98" s="2"/>
      <c r="AK98" s="2"/>
    </row>
    <row r="99" spans="1:37" ht="12.75" customHeight="1" x14ac:dyDescent="0.3">
      <c r="A99" s="1"/>
      <c r="B99" s="1"/>
      <c r="C99" s="7" t="s">
        <v>91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7" ht="12.75" customHeight="1" x14ac:dyDescent="0.3">
      <c r="A100" s="1"/>
      <c r="B100" s="52"/>
      <c r="C100" s="53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7"/>
      <c r="AG100" s="1"/>
    </row>
    <row r="101" spans="1:37" ht="12.75" customHeight="1" x14ac:dyDescent="0.3">
      <c r="A101" s="1"/>
      <c r="B101" s="58"/>
      <c r="C101" s="254" t="s">
        <v>92</v>
      </c>
      <c r="D101" s="254"/>
      <c r="E101" s="167" t="s">
        <v>93</v>
      </c>
      <c r="F101" s="167"/>
      <c r="G101" s="167"/>
      <c r="H101" s="208">
        <v>700000</v>
      </c>
      <c r="I101" s="58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61"/>
      <c r="AG101" s="1"/>
    </row>
    <row r="102" spans="1:37" ht="12.75" customHeight="1" x14ac:dyDescent="0.3">
      <c r="A102" s="1"/>
      <c r="B102" s="58"/>
      <c r="C102" s="254" t="s">
        <v>94</v>
      </c>
      <c r="D102" s="254"/>
      <c r="E102" s="167" t="s">
        <v>95</v>
      </c>
      <c r="F102" s="167"/>
      <c r="G102" s="168"/>
      <c r="H102" s="208">
        <v>700000</v>
      </c>
      <c r="I102" s="58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61"/>
      <c r="AG102" s="1"/>
    </row>
    <row r="103" spans="1:37" ht="12.75" customHeight="1" x14ac:dyDescent="0.3">
      <c r="A103" s="1"/>
      <c r="B103" s="58"/>
      <c r="C103" s="254" t="s">
        <v>96</v>
      </c>
      <c r="D103" s="254"/>
      <c r="E103" s="167" t="s">
        <v>97</v>
      </c>
      <c r="F103" s="167"/>
      <c r="G103" s="168"/>
      <c r="H103" s="208">
        <v>700000</v>
      </c>
      <c r="I103" s="58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61"/>
      <c r="AG103" s="1"/>
    </row>
    <row r="104" spans="1:37" ht="12.75" customHeight="1" x14ac:dyDescent="0.3">
      <c r="A104" s="1"/>
      <c r="B104" s="58"/>
      <c r="C104" s="254" t="s">
        <v>98</v>
      </c>
      <c r="D104" s="254"/>
      <c r="E104" s="167" t="s">
        <v>99</v>
      </c>
      <c r="F104" s="167"/>
      <c r="G104" s="168"/>
      <c r="H104" s="208">
        <v>700000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61"/>
      <c r="AG104" s="1"/>
    </row>
    <row r="105" spans="1:37" ht="12.75" customHeight="1" x14ac:dyDescent="0.3">
      <c r="A105" s="1"/>
      <c r="B105" s="58"/>
      <c r="C105" s="7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61"/>
      <c r="AG105" s="1"/>
    </row>
    <row r="106" spans="1:37" ht="12.75" customHeight="1" x14ac:dyDescent="0.3">
      <c r="A106" s="1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4"/>
      <c r="AG106" s="1"/>
    </row>
    <row r="107" spans="1:37" ht="12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2"/>
      <c r="AI107" s="2"/>
      <c r="AJ107" s="2"/>
      <c r="AK107" s="2"/>
    </row>
    <row r="108" spans="1:37" ht="12.75" customHeight="1" x14ac:dyDescent="0.3"/>
    <row r="109" spans="1:37" ht="12.75" customHeight="1" x14ac:dyDescent="0.3"/>
    <row r="110" spans="1:37" ht="12.75" customHeight="1" x14ac:dyDescent="0.3"/>
    <row r="111" spans="1:37" ht="12.75" customHeight="1" x14ac:dyDescent="0.3"/>
    <row r="112" spans="1:37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</sheetData>
  <sheetProtection formatCells="0" formatColumns="0" formatRows="0" insertColumns="0" insertRows="0" insertHyperlinks="0" deleteColumns="0" deleteRows="0" sort="0" autoFilter="0" pivotTables="0"/>
  <mergeCells count="81">
    <mergeCell ref="Q13:U13"/>
    <mergeCell ref="B2:AF4"/>
    <mergeCell ref="Q9:Z9"/>
    <mergeCell ref="Q10:U10"/>
    <mergeCell ref="Q11:U11"/>
    <mergeCell ref="Q12:U12"/>
    <mergeCell ref="W26:Z26"/>
    <mergeCell ref="Q14:U14"/>
    <mergeCell ref="Q17:U17"/>
    <mergeCell ref="W17:Z17"/>
    <mergeCell ref="Q18:U18"/>
    <mergeCell ref="W18:Z18"/>
    <mergeCell ref="Q19:U19"/>
    <mergeCell ref="W19:Z19"/>
    <mergeCell ref="Q20:U20"/>
    <mergeCell ref="W20:Z20"/>
    <mergeCell ref="W22:Z22"/>
    <mergeCell ref="W23:Z23"/>
    <mergeCell ref="W24:Z24"/>
    <mergeCell ref="W39:Z39"/>
    <mergeCell ref="W27:Z27"/>
    <mergeCell ref="W28:Z28"/>
    <mergeCell ref="W29:Z29"/>
    <mergeCell ref="W31:Z31"/>
    <mergeCell ref="W32:Z32"/>
    <mergeCell ref="W33:Z33"/>
    <mergeCell ref="W34:Z34"/>
    <mergeCell ref="W35:Z35"/>
    <mergeCell ref="W36:Z36"/>
    <mergeCell ref="W37:Z37"/>
    <mergeCell ref="W38:Z38"/>
    <mergeCell ref="W40:Z40"/>
    <mergeCell ref="W41:Z41"/>
    <mergeCell ref="W42:Z42"/>
    <mergeCell ref="W43:Z43"/>
    <mergeCell ref="J67:L67"/>
    <mergeCell ref="N67:Q67"/>
    <mergeCell ref="D73:H73"/>
    <mergeCell ref="J73:M73"/>
    <mergeCell ref="Q73:U73"/>
    <mergeCell ref="V73:Y74"/>
    <mergeCell ref="D74:H74"/>
    <mergeCell ref="J74:M74"/>
    <mergeCell ref="N84:P84"/>
    <mergeCell ref="R84:T84"/>
    <mergeCell ref="V84:Y84"/>
    <mergeCell ref="AA84:AC84"/>
    <mergeCell ref="J68:L68"/>
    <mergeCell ref="N68:Q68"/>
    <mergeCell ref="V75:Y75"/>
    <mergeCell ref="V76:Y76"/>
    <mergeCell ref="V77:Y77"/>
    <mergeCell ref="V78:Y78"/>
    <mergeCell ref="M83:AC83"/>
    <mergeCell ref="V79:Y79"/>
    <mergeCell ref="N85:P85"/>
    <mergeCell ref="R85:T85"/>
    <mergeCell ref="V85:Y85"/>
    <mergeCell ref="AA85:AC85"/>
    <mergeCell ref="N86:P86"/>
    <mergeCell ref="R86:T86"/>
    <mergeCell ref="V86:Y86"/>
    <mergeCell ref="AA86:AC86"/>
    <mergeCell ref="N87:P87"/>
    <mergeCell ref="R87:T87"/>
    <mergeCell ref="V87:Y87"/>
    <mergeCell ref="AA87:AC87"/>
    <mergeCell ref="Q90:U90"/>
    <mergeCell ref="V90:Y91"/>
    <mergeCell ref="D92:H92"/>
    <mergeCell ref="J92:M92"/>
    <mergeCell ref="V92:Y92"/>
    <mergeCell ref="D93:H93"/>
    <mergeCell ref="J93:M93"/>
    <mergeCell ref="V93:Y93"/>
    <mergeCell ref="C101:D101"/>
    <mergeCell ref="C102:D102"/>
    <mergeCell ref="C103:D103"/>
    <mergeCell ref="C104:D104"/>
    <mergeCell ref="V94:Y94"/>
    <mergeCell ref="V95:Y95"/>
  </mergeCells>
  <pageMargins left="0.51180555555555995" right="0.51180555555555995" top="0.78749999999999998" bottom="0.78749999999999998" header="0.51181102362205" footer="0.51181102362205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F1000"/>
  <sheetViews>
    <sheetView tabSelected="1" workbookViewId="0">
      <pane xSplit="3" ySplit="8" topLeftCell="P136" activePane="bottomRight" state="frozen"/>
      <selection pane="topRight"/>
      <selection pane="bottomLeft"/>
      <selection pane="bottomRight" activeCell="AC719" sqref="AC719"/>
    </sheetView>
  </sheetViews>
  <sheetFormatPr defaultColWidth="0" defaultRowHeight="14.4" x14ac:dyDescent="0.3"/>
  <cols>
    <col min="1" max="1" width="2.6640625" style="183" customWidth="1"/>
    <col min="2" max="2" width="3.6640625" style="183" customWidth="1"/>
    <col min="3" max="3" width="43.44140625" style="183" customWidth="1"/>
    <col min="4" max="4" width="8.5546875" style="183" customWidth="1"/>
    <col min="5" max="5" width="10.44140625" style="183" customWidth="1"/>
    <col min="6" max="7" width="1.6640625" style="183" customWidth="1"/>
    <col min="8" max="8" width="20" style="183" customWidth="1"/>
    <col min="9" max="9" width="1.6640625" style="183" customWidth="1"/>
    <col min="10" max="10" width="20" style="183" customWidth="1"/>
    <col min="11" max="11" width="1.6640625" style="183" customWidth="1"/>
    <col min="12" max="12" width="12" style="183" customWidth="1"/>
    <col min="13" max="13" width="9.5546875" style="183" customWidth="1"/>
    <col min="14" max="14" width="18.109375" style="183" customWidth="1"/>
    <col min="15" max="15" width="1.6640625" style="183" customWidth="1"/>
    <col min="16" max="16" width="11.6640625" style="183" customWidth="1"/>
    <col min="17" max="17" width="15.109375" style="183" customWidth="1"/>
    <col min="18" max="18" width="1.6640625" style="183" customWidth="1"/>
    <col min="19" max="19" width="10.44140625" style="183" customWidth="1"/>
    <col min="20" max="20" width="15.5546875" style="183" customWidth="1"/>
    <col min="21" max="21" width="1.6640625" style="183" customWidth="1"/>
    <col min="22" max="22" width="15.5546875" style="183" customWidth="1"/>
    <col min="23" max="23" width="1.6640625" style="183" customWidth="1"/>
    <col min="24" max="24" width="9.6640625" style="183" customWidth="1"/>
    <col min="25" max="25" width="17.21875" style="183" customWidth="1"/>
    <col min="26" max="26" width="7.88671875" style="183" customWidth="1"/>
    <col min="27" max="27" width="14.5546875" style="183" customWidth="1"/>
    <col min="28" max="28" width="9.6640625" style="183" customWidth="1"/>
    <col min="29" max="29" width="14.5546875" style="183" customWidth="1"/>
    <col min="30" max="30" width="1.6640625" style="183" customWidth="1"/>
    <col min="31" max="31" width="12.5546875" style="183" customWidth="1"/>
    <col min="32" max="32" width="11" style="183" customWidth="1"/>
    <col min="33" max="33" width="8" style="183" customWidth="1"/>
    <col min="34" max="34" width="10.33203125" style="183" customWidth="1"/>
    <col min="35" max="35" width="12.88671875" style="183" customWidth="1"/>
    <col min="36" max="36" width="12.5546875" style="183" customWidth="1"/>
    <col min="37" max="37" width="11.33203125" style="183" customWidth="1"/>
    <col min="38" max="38" width="10.88671875" style="183" customWidth="1"/>
    <col min="39" max="39" width="12.5546875" style="183" customWidth="1"/>
    <col min="40" max="40" width="1.6640625" style="183" customWidth="1"/>
    <col min="41" max="41" width="10.33203125" style="183" customWidth="1"/>
    <col min="42" max="42" width="1.6640625" style="183" customWidth="1"/>
    <col min="43" max="43" width="13.109375" style="183" customWidth="1"/>
    <col min="44" max="44" width="10.6640625" style="183" customWidth="1"/>
    <col min="45" max="45" width="14.109375" style="183" customWidth="1"/>
    <col min="46" max="46" width="1.6640625" style="183" customWidth="1"/>
    <col min="47" max="47" width="12.88671875" style="183" customWidth="1"/>
    <col min="48" max="48" width="13" style="183" customWidth="1"/>
    <col min="49" max="49" width="11.5546875" style="183" customWidth="1"/>
    <col min="50" max="50" width="13.44140625" style="183" customWidth="1"/>
    <col min="51" max="52" width="10.6640625" style="183" customWidth="1"/>
    <col min="53" max="53" width="13.33203125" style="183" customWidth="1"/>
    <col min="54" max="54" width="1.6640625" style="183" customWidth="1"/>
    <col min="55" max="55" width="9.44140625" style="183" customWidth="1"/>
    <col min="56" max="56" width="14.21875" style="183" customWidth="1"/>
    <col min="57" max="57" width="2.6640625" style="183" customWidth="1"/>
    <col min="58" max="58" width="9.109375" style="183" hidden="1" customWidth="1"/>
  </cols>
  <sheetData>
    <row r="1" spans="2:57" x14ac:dyDescent="0.3">
      <c r="B1" s="280" t="s">
        <v>100</v>
      </c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0"/>
      <c r="BA1" s="280"/>
      <c r="BB1" s="280"/>
      <c r="BC1" s="280"/>
      <c r="BD1" s="280"/>
    </row>
    <row r="2" spans="2:57" x14ac:dyDescent="0.3"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</row>
    <row r="3" spans="2:57" x14ac:dyDescent="0.3">
      <c r="C3" s="199" t="s">
        <v>101</v>
      </c>
    </row>
    <row r="4" spans="2:57" ht="12.75" customHeight="1" x14ac:dyDescent="0.3">
      <c r="B4" s="282" t="s">
        <v>102</v>
      </c>
      <c r="C4" s="282"/>
      <c r="D4" s="282"/>
      <c r="E4" s="282"/>
      <c r="H4" s="282" t="s">
        <v>103</v>
      </c>
      <c r="J4" s="282" t="s">
        <v>103</v>
      </c>
      <c r="L4" s="282" t="s">
        <v>104</v>
      </c>
      <c r="M4" s="282"/>
      <c r="N4" s="282"/>
      <c r="P4" s="282" t="s">
        <v>105</v>
      </c>
      <c r="Q4" s="282"/>
      <c r="R4" s="282"/>
      <c r="S4" s="282"/>
      <c r="T4" s="282"/>
      <c r="U4" s="282"/>
      <c r="V4" s="282"/>
      <c r="X4" s="282" t="s">
        <v>106</v>
      </c>
      <c r="Y4" s="282"/>
      <c r="Z4" s="282"/>
      <c r="AA4" s="282"/>
      <c r="AB4" s="282"/>
      <c r="AC4" s="282"/>
      <c r="AE4" s="283" t="s">
        <v>107</v>
      </c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3"/>
    </row>
    <row r="5" spans="2:57" ht="12.75" customHeight="1" x14ac:dyDescent="0.3">
      <c r="B5" s="282"/>
      <c r="C5" s="282"/>
      <c r="D5" s="282"/>
      <c r="E5" s="282"/>
      <c r="H5" s="282"/>
      <c r="J5" s="282"/>
      <c r="L5" s="282"/>
      <c r="M5" s="282"/>
      <c r="N5" s="282"/>
      <c r="P5" s="282"/>
      <c r="Q5" s="282"/>
      <c r="R5" s="282"/>
      <c r="S5" s="282"/>
      <c r="T5" s="282"/>
      <c r="U5" s="282"/>
      <c r="V5" s="282"/>
      <c r="X5" s="282"/>
      <c r="Y5" s="282"/>
      <c r="Z5" s="282"/>
      <c r="AA5" s="282"/>
      <c r="AB5" s="282"/>
      <c r="AC5" s="282"/>
    </row>
    <row r="6" spans="2:57" ht="15.75" customHeight="1" x14ac:dyDescent="0.3">
      <c r="B6" s="282"/>
      <c r="C6" s="282"/>
      <c r="D6" s="282"/>
      <c r="E6" s="282"/>
      <c r="H6" s="282"/>
      <c r="J6" s="282"/>
      <c r="L6" s="282"/>
      <c r="M6" s="282"/>
      <c r="N6" s="282"/>
      <c r="P6" s="282"/>
      <c r="Q6" s="282"/>
      <c r="R6" s="282"/>
      <c r="S6" s="282"/>
      <c r="T6" s="282"/>
      <c r="U6" s="282"/>
      <c r="V6" s="282"/>
      <c r="X6" s="282"/>
      <c r="Y6" s="282"/>
      <c r="Z6" s="282"/>
      <c r="AA6" s="282"/>
      <c r="AB6" s="282"/>
      <c r="AC6" s="282"/>
      <c r="AE6" s="284" t="s">
        <v>108</v>
      </c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  <c r="AR6" s="284"/>
      <c r="AS6" s="284"/>
      <c r="AU6" s="284" t="s">
        <v>109</v>
      </c>
      <c r="AV6" s="284"/>
      <c r="AW6" s="284"/>
      <c r="AX6" s="284"/>
      <c r="AY6" s="284"/>
      <c r="AZ6" s="284"/>
      <c r="BA6" s="284"/>
      <c r="BB6" s="284"/>
      <c r="BC6" s="284"/>
      <c r="BD6" s="284"/>
    </row>
    <row r="8" spans="2:57" s="197" customFormat="1" ht="67.5" customHeight="1" x14ac:dyDescent="0.3">
      <c r="B8" s="196" t="s">
        <v>110</v>
      </c>
      <c r="C8" s="196" t="s">
        <v>111</v>
      </c>
      <c r="D8" s="196" t="s">
        <v>112</v>
      </c>
      <c r="E8" s="196" t="s">
        <v>113</v>
      </c>
      <c r="H8" s="195" t="s">
        <v>114</v>
      </c>
      <c r="J8" s="195" t="s">
        <v>115</v>
      </c>
      <c r="L8" s="195" t="s">
        <v>116</v>
      </c>
      <c r="M8" s="195" t="s">
        <v>117</v>
      </c>
      <c r="N8" s="195" t="s">
        <v>118</v>
      </c>
      <c r="P8" s="195" t="s">
        <v>119</v>
      </c>
      <c r="Q8" s="195" t="s">
        <v>120</v>
      </c>
      <c r="R8" s="198"/>
      <c r="S8" s="195" t="s">
        <v>121</v>
      </c>
      <c r="T8" s="195" t="s">
        <v>122</v>
      </c>
      <c r="U8" s="198"/>
      <c r="V8" s="195" t="s">
        <v>123</v>
      </c>
      <c r="X8" s="195" t="s">
        <v>124</v>
      </c>
      <c r="Y8" s="195" t="s">
        <v>125</v>
      </c>
      <c r="Z8" s="195" t="s">
        <v>126</v>
      </c>
      <c r="AA8" s="195" t="s">
        <v>127</v>
      </c>
      <c r="AB8" s="195" t="s">
        <v>128</v>
      </c>
      <c r="AC8" s="195" t="s">
        <v>129</v>
      </c>
      <c r="AE8" s="195" t="s">
        <v>130</v>
      </c>
      <c r="AF8" s="195" t="s">
        <v>131</v>
      </c>
      <c r="AG8" s="281" t="s">
        <v>132</v>
      </c>
      <c r="AH8" s="281"/>
      <c r="AI8" s="195" t="s">
        <v>133</v>
      </c>
      <c r="AJ8" s="195" t="s">
        <v>134</v>
      </c>
      <c r="AK8" s="281" t="s">
        <v>135</v>
      </c>
      <c r="AL8" s="281"/>
      <c r="AM8" s="195" t="str">
        <f>CONCATENATE("MATRIZ Assistência Estudantil Presencial ",(1-'DADOS BASE'!AD10)*100,"% IDH")</f>
        <v>MATRIZ Assistência Estudantil Presencial 25% IDH</v>
      </c>
      <c r="AN8" s="198"/>
      <c r="AO8" s="195" t="s">
        <v>136</v>
      </c>
      <c r="AP8" s="198"/>
      <c r="AQ8" s="195" t="s">
        <v>137</v>
      </c>
      <c r="AR8" s="195" t="s">
        <v>138</v>
      </c>
      <c r="AS8" s="195" t="str">
        <f>CONCATENATE("MATRIZ Assistência Estudantil Presencial ",'DADOS BASE'!AD10*100,"% RENDA")</f>
        <v>MATRIZ Assistência Estudantil Presencial 75% RENDA</v>
      </c>
      <c r="AT8" s="198"/>
      <c r="AU8" s="195" t="s">
        <v>139</v>
      </c>
      <c r="AV8" s="195" t="s">
        <v>140</v>
      </c>
      <c r="AW8" s="195" t="s">
        <v>141</v>
      </c>
      <c r="AX8" s="195" t="str">
        <f>CONCATENATE("MATRIZ Assistência Estudantil Presencial ",(1-'DADOS BASE'!AD10)*100,"% IDH")</f>
        <v>MATRIZ Assistência Estudantil Presencial 25% IDH</v>
      </c>
      <c r="AY8" s="195" t="s">
        <v>142</v>
      </c>
      <c r="AZ8" s="195" t="s">
        <v>138</v>
      </c>
      <c r="BA8" s="195" t="str">
        <f>CONCATENATE("MATRIZ Assistência Estudantil Presencial ",'DADOS BASE'!AD10*100,"% RENDA")</f>
        <v>MATRIZ Assistência Estudantil Presencial 75% RENDA</v>
      </c>
      <c r="BB8" s="198"/>
      <c r="BC8" s="195" t="s">
        <v>143</v>
      </c>
      <c r="BD8" s="195" t="s">
        <v>144</v>
      </c>
    </row>
    <row r="10" spans="2:57" x14ac:dyDescent="0.3"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 t="s">
        <v>145</v>
      </c>
      <c r="AH10" s="190">
        <f>SMALL(AH17:AH1000,1)</f>
        <v>0.48399999999999999</v>
      </c>
      <c r="AI10" s="190"/>
      <c r="AJ10" s="190"/>
      <c r="AK10" s="190" t="s">
        <v>146</v>
      </c>
      <c r="AL10" s="190">
        <f>SMALL(AL14:AL996,1)</f>
        <v>149.46224484219215</v>
      </c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</row>
    <row r="11" spans="2:57" x14ac:dyDescent="0.3">
      <c r="B11" s="190"/>
      <c r="C11" s="190" t="s">
        <v>147</v>
      </c>
      <c r="D11" s="190"/>
      <c r="E11" s="190"/>
      <c r="F11" s="190"/>
      <c r="G11" s="190"/>
      <c r="H11" s="191">
        <f ca="1">SUMIFS(H15:H997,$D$15:$D$997,"T")</f>
        <v>1337666489.1103408</v>
      </c>
      <c r="I11" s="190"/>
      <c r="J11" s="192">
        <f>SUMIFS(J15:J997,$D$15:$D$997,"T")</f>
        <v>1328742929.0559998</v>
      </c>
      <c r="K11" s="190"/>
      <c r="L11" s="191">
        <f>SUMIF($D$14:$D$997,"T",L14:L997)</f>
        <v>1281798.7739291647</v>
      </c>
      <c r="M11" s="191">
        <f>SUMIF($D$14:$D$997,"T",M14:M997)</f>
        <v>1</v>
      </c>
      <c r="N11" s="192">
        <f>SUMIF($D$14:$D$997,"T",N14:N997)</f>
        <v>1262233565.0389161</v>
      </c>
      <c r="O11" s="190"/>
      <c r="P11" s="192">
        <f>SUMIF($D$14:$D$997,"T",P14:P997)</f>
        <v>25808.914877293315</v>
      </c>
      <c r="Q11" s="192">
        <f>SUMIF($D$14:$D$997,"T",Q14:Q997)</f>
        <v>6353742.7437795568</v>
      </c>
      <c r="R11" s="190"/>
      <c r="S11" s="192">
        <f>SUMIF($D$14:$D$997,"T",S14:S997)</f>
        <v>76360.076820143615</v>
      </c>
      <c r="T11" s="192"/>
      <c r="U11" s="190"/>
      <c r="V11" s="192">
        <f>SUMIF($D$14:$D$997,"T",V14:V997)</f>
        <v>66509364.017083593</v>
      </c>
      <c r="W11" s="190"/>
      <c r="X11" s="192">
        <f t="shared" ref="X11:AC11" si="0">SUMIF($D$14:$D$997,"T",X14:X997)</f>
        <v>1</v>
      </c>
      <c r="Y11" s="192">
        <f t="shared" si="0"/>
        <v>41523216.533000007</v>
      </c>
      <c r="Z11" s="193">
        <f t="shared" si="0"/>
        <v>0.99999999999999978</v>
      </c>
      <c r="AA11" s="192">
        <f t="shared" si="0"/>
        <v>41523216.532999985</v>
      </c>
      <c r="AB11" s="192">
        <f t="shared" si="0"/>
        <v>1</v>
      </c>
      <c r="AC11" s="192">
        <f t="shared" si="0"/>
        <v>83046433.065999985</v>
      </c>
      <c r="AD11" s="190"/>
      <c r="AE11" s="192">
        <f>SUMIF($D$14:$D$997,"T",AE14:AE997)</f>
        <v>796330</v>
      </c>
      <c r="AF11" s="192">
        <f>SUMIF($D$14:$D$997,"T",AF14:AF997)</f>
        <v>556509.38883441209</v>
      </c>
      <c r="AG11" s="190"/>
      <c r="AH11" s="190"/>
      <c r="AI11" s="190"/>
      <c r="AJ11" s="190" t="s">
        <v>148</v>
      </c>
      <c r="AK11" s="190" t="s">
        <v>149</v>
      </c>
      <c r="AL11" s="190">
        <f>'DADOS BASE'!$W$37/AF11</f>
        <v>179.67637426916221</v>
      </c>
      <c r="AM11" s="191">
        <f>SUMIF($D$14:$D$997,"T",AM14:AM997)</f>
        <v>99991589.23251459</v>
      </c>
      <c r="AN11" s="190"/>
      <c r="AO11" s="190"/>
      <c r="AP11" s="190"/>
      <c r="AQ11" s="192">
        <f>SUMIF($D$14:$D$997,"T",AQ14:AQ997)</f>
        <v>939858.77411090001</v>
      </c>
      <c r="AR11" s="194">
        <f>SUM(AR14:AR997)</f>
        <v>0.99999999999999989</v>
      </c>
      <c r="AS11" s="192">
        <f>SUMIF($D$14:$D$997,"T",AS14:AS997)</f>
        <v>299974767.69754362</v>
      </c>
      <c r="AT11" s="190"/>
      <c r="AU11" s="191">
        <f t="shared" ref="AU11:BA11" si="1">SUMIF($D$14:$D$997,"T",AU14:AU997)</f>
        <v>54823.41088771986</v>
      </c>
      <c r="AV11" s="191">
        <f t="shared" si="1"/>
        <v>117349.75</v>
      </c>
      <c r="AW11" s="191">
        <f t="shared" si="1"/>
        <v>13705.852721929965</v>
      </c>
      <c r="AX11" s="191">
        <f t="shared" si="1"/>
        <v>2462617.9233435043</v>
      </c>
      <c r="AY11" s="191">
        <f t="shared" si="1"/>
        <v>19120.343555568732</v>
      </c>
      <c r="AZ11" s="191">
        <f t="shared" si="1"/>
        <v>0.99999999999999989</v>
      </c>
      <c r="BA11" s="191">
        <f t="shared" si="1"/>
        <v>7387853.7700305143</v>
      </c>
      <c r="BB11" s="190"/>
      <c r="BC11" s="192">
        <f>SUMIF($D$14:$D$997,"T",BC14:BC997)</f>
        <v>9315</v>
      </c>
      <c r="BD11" s="192">
        <f>SUMIF($D$14:$D$997,"T",BD14:BD997)</f>
        <v>50330845.376567803</v>
      </c>
    </row>
    <row r="12" spans="2:57" x14ac:dyDescent="0.3"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 t="s">
        <v>150</v>
      </c>
      <c r="AH12" s="190">
        <f>LARGE(AH17:AH1000,1)</f>
        <v>0.84699999999999998</v>
      </c>
      <c r="AI12" s="191">
        <f>SUM(AI14:AI996)/$AF$11</f>
        <v>0.72232669734515886</v>
      </c>
      <c r="AJ12" s="191">
        <v>1.3487940630798001</v>
      </c>
      <c r="AK12" s="190" t="s">
        <v>151</v>
      </c>
      <c r="AL12" s="190">
        <f>LARGE(AL14:AL996,1)</f>
        <v>237.43399780324404</v>
      </c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  <c r="AW12" s="190"/>
      <c r="AX12" s="190"/>
      <c r="AY12" s="190"/>
      <c r="AZ12" s="190"/>
      <c r="BA12" s="190"/>
      <c r="BB12" s="190"/>
      <c r="BC12" s="190"/>
      <c r="BD12" s="190"/>
    </row>
    <row r="14" spans="2:57" x14ac:dyDescent="0.3">
      <c r="F14" s="185"/>
      <c r="H14" s="186"/>
      <c r="J14" s="186"/>
      <c r="K14" s="186"/>
      <c r="L14" s="186"/>
      <c r="M14" s="186"/>
      <c r="N14" s="186"/>
      <c r="O14" s="187"/>
      <c r="P14" s="186"/>
      <c r="Q14" s="186"/>
      <c r="R14" s="186"/>
      <c r="S14" s="186"/>
      <c r="T14" s="186"/>
      <c r="U14" s="186"/>
      <c r="V14" s="186"/>
      <c r="W14" s="187"/>
      <c r="X14" s="186"/>
      <c r="Y14" s="186"/>
      <c r="Z14" s="185"/>
      <c r="AA14" s="186"/>
      <c r="AB14" s="186"/>
      <c r="AC14" s="186"/>
      <c r="AD14" s="186"/>
      <c r="AE14" s="186"/>
      <c r="AF14" s="186"/>
      <c r="AG14" s="186"/>
      <c r="AH14" s="185"/>
      <c r="AJ14" s="186"/>
      <c r="AK14" s="186"/>
      <c r="AL14" s="186"/>
      <c r="AM14" s="187"/>
      <c r="AN14" s="186"/>
      <c r="AO14" s="186"/>
      <c r="AQ14" s="186"/>
      <c r="AR14" s="186"/>
      <c r="AS14" s="187"/>
      <c r="AU14" s="186"/>
      <c r="AV14" s="186"/>
      <c r="AW14" s="186"/>
      <c r="AX14" s="186"/>
      <c r="AY14" s="186"/>
      <c r="AZ14" s="186"/>
      <c r="BA14" s="186"/>
      <c r="BC14" s="186"/>
      <c r="BD14" s="186"/>
      <c r="BE14" s="187"/>
    </row>
    <row r="15" spans="2:57" x14ac:dyDescent="0.3">
      <c r="B15" s="209" t="s">
        <v>152</v>
      </c>
      <c r="C15" s="209" t="s">
        <v>153</v>
      </c>
      <c r="D15" s="209" t="s">
        <v>154</v>
      </c>
      <c r="E15" s="209"/>
      <c r="F15" s="210"/>
      <c r="G15" s="211"/>
      <c r="H15" s="212">
        <f ca="1">SUM(H16:H22)</f>
        <v>10181977.37766071</v>
      </c>
      <c r="I15" s="211"/>
      <c r="J15" s="212">
        <f>SUM(J16:J22)</f>
        <v>10181977.37766071</v>
      </c>
      <c r="K15" s="212"/>
      <c r="L15" s="213">
        <f>SUM(L16:L22)</f>
        <v>10309.240611222638</v>
      </c>
      <c r="M15" s="212">
        <f>SUM(M16:M22)</f>
        <v>8.042791755543021E-3</v>
      </c>
      <c r="N15" s="212">
        <f>SUM(N16:N22)</f>
        <v>10151881.710464671</v>
      </c>
      <c r="O15" s="214"/>
      <c r="P15" s="213">
        <f>SUM(P16:P22)</f>
        <v>0</v>
      </c>
      <c r="Q15" s="212">
        <f>SUM(Q16:Q22)</f>
        <v>0</v>
      </c>
      <c r="R15" s="212"/>
      <c r="S15" s="213">
        <f>SUM(S16:S22)</f>
        <v>38.202705090549998</v>
      </c>
      <c r="T15" s="212">
        <f>SUM(T16:T22)</f>
        <v>30095.667196036855</v>
      </c>
      <c r="U15" s="212"/>
      <c r="V15" s="212">
        <f>SUM(V16:V22)</f>
        <v>30095.667196036855</v>
      </c>
      <c r="W15" s="214"/>
      <c r="X15" s="212">
        <f>SUMIF(INDICADORES!$D$13:$D$53,C15,INDICADORES!$L$13:$L$53)</f>
        <v>7.1742609591435042E-3</v>
      </c>
      <c r="Y15" s="212">
        <f>X15*'DADOS BASE'!$I$79</f>
        <v>297898.391270764</v>
      </c>
      <c r="Z15" s="210">
        <f>SUMIF(INDICADORES!$D$13:$D$53,C15,INDICADORES!$R$13:$R$53)</f>
        <v>1.1444781935927557E-2</v>
      </c>
      <c r="AA15" s="212">
        <f>Z15*'DADOS BASE'!$I$84</f>
        <v>475224.15849848685</v>
      </c>
      <c r="AB15" s="212">
        <f>SUMIF(INDICADORES!$D$13:$D$53,C15,INDICADORES!$Z$13:$Z$53)</f>
        <v>2.4820090153701607E-2</v>
      </c>
      <c r="AC15" s="212">
        <f>AB15*'DADOS BASE'!$I$89</f>
        <v>2061219.9556414662</v>
      </c>
      <c r="AD15" s="212"/>
      <c r="AE15" s="213">
        <f>SUM(AE16:AE22)</f>
        <v>6409</v>
      </c>
      <c r="AF15" s="213">
        <f>SUM(AF16:AF22)</f>
        <v>4432.9611816733304</v>
      </c>
      <c r="AG15" s="212" t="s">
        <v>155</v>
      </c>
      <c r="AH15" s="215"/>
      <c r="AI15" s="211"/>
      <c r="AJ15" s="212"/>
      <c r="AK15" s="212"/>
      <c r="AL15" s="212"/>
      <c r="AM15" s="214">
        <f>SUM(AM16:AM22)</f>
        <v>865601.8174955186</v>
      </c>
      <c r="AN15" s="212"/>
      <c r="AO15" s="213"/>
      <c r="AP15" s="211"/>
      <c r="AQ15" s="212">
        <f>SUM(AQ16:AQ22)</f>
        <v>8117.3948087111803</v>
      </c>
      <c r="AR15" s="212"/>
      <c r="AS15" s="214">
        <f>SUM(AS16:AS22)</f>
        <v>2590829.2704463918</v>
      </c>
      <c r="AT15" s="211"/>
      <c r="AU15" s="213">
        <f t="shared" ref="AU15:BA15" si="2">SUM(AU16:AU22)</f>
        <v>28.361082036220001</v>
      </c>
      <c r="AV15" s="213">
        <f t="shared" si="2"/>
        <v>36.5</v>
      </c>
      <c r="AW15" s="212">
        <f t="shared" si="2"/>
        <v>7.0902705090550002</v>
      </c>
      <c r="AX15" s="212">
        <f t="shared" si="2"/>
        <v>1273.9540976545695</v>
      </c>
      <c r="AY15" s="212">
        <f t="shared" si="2"/>
        <v>13.200330262456706</v>
      </c>
      <c r="AZ15" s="212">
        <f t="shared" si="2"/>
        <v>6.9038143713752236E-4</v>
      </c>
      <c r="BA15" s="212">
        <f t="shared" si="2"/>
        <v>5100.4371031155279</v>
      </c>
      <c r="BB15" s="211"/>
      <c r="BC15" s="213">
        <f>SUM(BC16:BC22)</f>
        <v>0</v>
      </c>
      <c r="BD15" s="212">
        <f>SUM(BD16:BD22)</f>
        <v>0</v>
      </c>
      <c r="BE15" s="187"/>
    </row>
    <row r="16" spans="2:57" x14ac:dyDescent="0.3">
      <c r="B16" s="216" t="s">
        <v>152</v>
      </c>
      <c r="C16" s="216" t="s">
        <v>156</v>
      </c>
      <c r="D16" s="216" t="s">
        <v>157</v>
      </c>
      <c r="E16" s="216"/>
      <c r="F16" s="217"/>
      <c r="G16" s="218"/>
      <c r="H16" s="219"/>
      <c r="I16" s="218"/>
      <c r="J16" s="219"/>
      <c r="K16" s="219"/>
      <c r="L16" s="220">
        <v>0</v>
      </c>
      <c r="M16" s="219">
        <v>0</v>
      </c>
      <c r="N16" s="219">
        <v>0</v>
      </c>
      <c r="O16" s="221"/>
      <c r="P16" s="220"/>
      <c r="Q16" s="219"/>
      <c r="R16" s="219"/>
      <c r="S16" s="220"/>
      <c r="T16" s="219"/>
      <c r="U16" s="219"/>
      <c r="V16" s="219"/>
      <c r="W16" s="221"/>
      <c r="X16" s="219"/>
      <c r="Y16" s="219"/>
      <c r="Z16" s="217"/>
      <c r="AA16" s="219"/>
      <c r="AB16" s="219"/>
      <c r="AC16" s="219"/>
      <c r="AD16" s="219"/>
      <c r="AE16" s="220"/>
      <c r="AF16" s="220"/>
      <c r="AG16" s="219" t="s">
        <v>155</v>
      </c>
      <c r="AH16" s="222"/>
      <c r="AI16" s="218"/>
      <c r="AJ16" s="219"/>
      <c r="AK16" s="219"/>
      <c r="AL16" s="219"/>
      <c r="AM16" s="221"/>
      <c r="AN16" s="219"/>
      <c r="AO16" s="220"/>
      <c r="AP16" s="218"/>
      <c r="AQ16" s="219"/>
      <c r="AR16" s="219"/>
      <c r="AS16" s="221"/>
      <c r="AT16" s="218"/>
      <c r="AU16" s="220"/>
      <c r="AV16" s="220"/>
      <c r="AW16" s="219"/>
      <c r="AX16" s="219"/>
      <c r="AY16" s="219"/>
      <c r="AZ16" s="219"/>
      <c r="BA16" s="219"/>
      <c r="BB16" s="218"/>
      <c r="BC16" s="220"/>
      <c r="BD16" s="219"/>
      <c r="BE16" s="187"/>
    </row>
    <row r="17" spans="2:57" x14ac:dyDescent="0.3">
      <c r="B17" s="184" t="s">
        <v>152</v>
      </c>
      <c r="C17" s="184" t="s">
        <v>158</v>
      </c>
      <c r="D17" s="184" t="s">
        <v>94</v>
      </c>
      <c r="E17" s="184">
        <v>0</v>
      </c>
      <c r="F17" s="185"/>
      <c r="H17" s="186">
        <f ca="1">IF(AND(E17&gt;=2018,SUMIF('DADOS BASE'!$C$101:$D$104,D17,'DADOS BASE'!$H$101:$H$104)&gt;J17),
SUMIF('DADOS BASE'!$C$101:$D$104,D17,'DADOS BASE'!$H$101:$H$104),
J17)</f>
        <v>795610.0873631906</v>
      </c>
      <c r="J17" s="186">
        <f t="shared" ref="J17:J22" si="3">N17+Q17+T17</f>
        <v>795610.0873631906</v>
      </c>
      <c r="K17" s="186"/>
      <c r="L17" s="188">
        <v>794.82025067103996</v>
      </c>
      <c r="M17" s="186">
        <f t="shared" ref="M17:M22" si="4">L17/$L$11</f>
        <v>6.200819245868335E-4</v>
      </c>
      <c r="N17" s="186">
        <f>L17*'DADOS BASE'!$I$29</f>
        <v>782688.21828743129</v>
      </c>
      <c r="O17" s="187"/>
      <c r="P17" s="188">
        <v>0</v>
      </c>
      <c r="Q17" s="186">
        <f>P17*'DADOS BASE'!$I$33</f>
        <v>0</v>
      </c>
      <c r="R17" s="186"/>
      <c r="S17" s="188">
        <v>16.40270509055</v>
      </c>
      <c r="T17" s="186">
        <f>S17*'DADOS BASE'!$I$37</f>
        <v>12921.86907575935</v>
      </c>
      <c r="U17" s="186"/>
      <c r="V17" s="186">
        <f t="shared" ref="V17:V22" si="5">T17+Q17</f>
        <v>12921.86907575935</v>
      </c>
      <c r="W17" s="187"/>
      <c r="X17" s="186"/>
      <c r="Y17" s="186"/>
      <c r="Z17" s="185"/>
      <c r="AA17" s="186"/>
      <c r="AB17" s="186"/>
      <c r="AC17" s="186"/>
      <c r="AD17" s="186"/>
      <c r="AE17" s="188">
        <v>460</v>
      </c>
      <c r="AF17" s="188">
        <v>231.65020849535</v>
      </c>
      <c r="AG17" s="186" t="s">
        <v>155</v>
      </c>
      <c r="AH17" s="189">
        <v>0.72699999999999998</v>
      </c>
      <c r="AI17" s="183">
        <f t="shared" ref="AI17:AI22" si="6">AF17*AH17</f>
        <v>168.40970157611943</v>
      </c>
      <c r="AJ17" s="186">
        <f t="shared" ref="AJ17:AJ22" si="7">(AH17-$AI$12)*$AJ$12</f>
        <v>6.3033228758247652E-3</v>
      </c>
      <c r="AK17" s="186"/>
      <c r="AL17" s="186">
        <f t="shared" ref="AL17:AL22" si="8">$AL$11-(AJ17*$AL$11)</f>
        <v>178.54381606898616</v>
      </c>
      <c r="AM17" s="187">
        <f t="shared" ref="AM17:AM22" si="9">AF17*AL17</f>
        <v>41359.712217936067</v>
      </c>
      <c r="AN17" s="186"/>
      <c r="AO17" s="188">
        <v>1.7600896860987001</v>
      </c>
      <c r="AQ17" s="186">
        <f t="shared" ref="AQ17:AQ22" si="10">AF17*AO17</f>
        <v>407.72514275527902</v>
      </c>
      <c r="AR17" s="186">
        <f t="shared" ref="AR17:AR22" si="11">AQ17/$AQ$11</f>
        <v>4.3381532841568055E-4</v>
      </c>
      <c r="AS17" s="187">
        <f>AR17*'DADOS BASE'!W$38</f>
        <v>130133.65236512739</v>
      </c>
      <c r="AU17" s="188">
        <v>6.5610820362200002</v>
      </c>
      <c r="AV17" s="188">
        <v>12.5</v>
      </c>
      <c r="AW17" s="186">
        <f t="shared" ref="AW17:AW22" si="12">AU17/4</f>
        <v>1.640270509055</v>
      </c>
      <c r="AX17" s="186">
        <f>IF($AW$11&gt;0,(AW17/$AW$11)*'DADOS BASE'!W$40,0)</f>
        <v>294.71785788763538</v>
      </c>
      <c r="AY17" s="186">
        <f t="shared" ref="AY17:AY22" si="13">AO17*AW17</f>
        <v>2.8870232053995699</v>
      </c>
      <c r="AZ17" s="186">
        <f t="shared" ref="AZ17:AZ22" si="14">IF($AY$11&gt;0,AY17/$AY$11,0)</f>
        <v>1.5099222443410199E-4</v>
      </c>
      <c r="BA17" s="186">
        <f>AZ17*'DADOS BASE'!W$41</f>
        <v>1115.5084745307736</v>
      </c>
      <c r="BC17" s="188">
        <v>0</v>
      </c>
      <c r="BD17" s="186">
        <f>IF($BC$11&gt;0,(BC17/$BC$11)*'DADOS BASE'!W$39,0)</f>
        <v>0</v>
      </c>
      <c r="BE17" s="187"/>
    </row>
    <row r="18" spans="2:57" x14ac:dyDescent="0.3">
      <c r="B18" s="223" t="s">
        <v>152</v>
      </c>
      <c r="C18" s="223" t="s">
        <v>159</v>
      </c>
      <c r="D18" s="223" t="s">
        <v>92</v>
      </c>
      <c r="E18" s="223">
        <v>0</v>
      </c>
      <c r="F18" s="224"/>
      <c r="G18" s="225"/>
      <c r="H18" s="226">
        <f ca="1">IF(AND(E18&gt;=2018,SUMIF('DADOS BASE'!$C$101:$D$104,D18,'DADOS BASE'!$H$101:$H$104)&gt;J18),
SUMIF('DADOS BASE'!$C$101:$D$104,D18,'DADOS BASE'!$H$101:$H$104),
J18)</f>
        <v>2371315.8855935214</v>
      </c>
      <c r="I18" s="225"/>
      <c r="J18" s="226">
        <f t="shared" si="3"/>
        <v>2371315.8855935214</v>
      </c>
      <c r="K18" s="226"/>
      <c r="L18" s="227">
        <v>2408.0723876636998</v>
      </c>
      <c r="M18" s="226">
        <f t="shared" si="4"/>
        <v>1.878666477642282E-3</v>
      </c>
      <c r="N18" s="226">
        <f>L18*'DADOS BASE'!$I$29</f>
        <v>2371315.8855935214</v>
      </c>
      <c r="O18" s="228"/>
      <c r="P18" s="227">
        <v>0</v>
      </c>
      <c r="Q18" s="226">
        <f>P18*'DADOS BASE'!$I$33</f>
        <v>0</v>
      </c>
      <c r="R18" s="226"/>
      <c r="S18" s="227">
        <v>0</v>
      </c>
      <c r="T18" s="226">
        <f>S18*'DADOS BASE'!$I$37</f>
        <v>0</v>
      </c>
      <c r="U18" s="226"/>
      <c r="V18" s="226">
        <f t="shared" si="5"/>
        <v>0</v>
      </c>
      <c r="W18" s="228"/>
      <c r="X18" s="226"/>
      <c r="Y18" s="226"/>
      <c r="Z18" s="224"/>
      <c r="AA18" s="226"/>
      <c r="AB18" s="226"/>
      <c r="AC18" s="226"/>
      <c r="AD18" s="226"/>
      <c r="AE18" s="227">
        <v>1153</v>
      </c>
      <c r="AF18" s="227">
        <v>897.92709289253003</v>
      </c>
      <c r="AG18" s="226" t="s">
        <v>155</v>
      </c>
      <c r="AH18" s="229">
        <v>0.66400000000000003</v>
      </c>
      <c r="AI18" s="225">
        <f t="shared" si="6"/>
        <v>596.22358968063998</v>
      </c>
      <c r="AJ18" s="226">
        <f t="shared" si="7"/>
        <v>-7.8670703098202566E-2</v>
      </c>
      <c r="AK18" s="226"/>
      <c r="AL18" s="226">
        <f t="shared" si="8"/>
        <v>193.81164096305298</v>
      </c>
      <c r="AM18" s="228">
        <f t="shared" si="9"/>
        <v>174028.72333868494</v>
      </c>
      <c r="AN18" s="226"/>
      <c r="AO18" s="227">
        <v>2.237676056338</v>
      </c>
      <c r="AP18" s="225"/>
      <c r="AQ18" s="226">
        <f t="shared" si="10"/>
        <v>2009.2699561028016</v>
      </c>
      <c r="AR18" s="226">
        <f t="shared" si="11"/>
        <v>2.1378424199992785E-3</v>
      </c>
      <c r="AS18" s="228">
        <f>AR18*'DADOS BASE'!W$38</f>
        <v>641298.78331323818</v>
      </c>
      <c r="AT18" s="225"/>
      <c r="AU18" s="227">
        <v>0</v>
      </c>
      <c r="AV18" s="227">
        <v>0</v>
      </c>
      <c r="AW18" s="226">
        <f t="shared" si="12"/>
        <v>0</v>
      </c>
      <c r="AX18" s="226">
        <f>IF($AW$11&gt;0,(AW18/$AW$11)*'DADOS BASE'!W$40,0)</f>
        <v>0</v>
      </c>
      <c r="AY18" s="226">
        <f t="shared" si="13"/>
        <v>0</v>
      </c>
      <c r="AZ18" s="226">
        <f t="shared" si="14"/>
        <v>0</v>
      </c>
      <c r="BA18" s="226">
        <f>AZ18*'DADOS BASE'!W$41</f>
        <v>0</v>
      </c>
      <c r="BB18" s="225"/>
      <c r="BC18" s="227">
        <v>0</v>
      </c>
      <c r="BD18" s="226">
        <f>IF($BC$11&gt;0,(BC18/$BC$11)*'DADOS BASE'!W$39,0)</f>
        <v>0</v>
      </c>
      <c r="BE18" s="187"/>
    </row>
    <row r="19" spans="2:57" x14ac:dyDescent="0.3">
      <c r="B19" s="184" t="s">
        <v>152</v>
      </c>
      <c r="C19" s="184" t="s">
        <v>160</v>
      </c>
      <c r="D19" s="184" t="s">
        <v>94</v>
      </c>
      <c r="E19" s="184">
        <v>0</v>
      </c>
      <c r="F19" s="185"/>
      <c r="H19" s="186">
        <f ca="1">IF(AND(E19&gt;=2018,SUMIF('DADOS BASE'!$C$101:$D$104,D19,'DADOS BASE'!$H$101:$H$104)&gt;J19),
SUMIF('DADOS BASE'!$C$101:$D$104,D19,'DADOS BASE'!$H$101:$H$104),
J19)</f>
        <v>2968760.3558039898</v>
      </c>
      <c r="J19" s="186">
        <f t="shared" si="3"/>
        <v>2968760.3558039898</v>
      </c>
      <c r="K19" s="186"/>
      <c r="L19" s="188">
        <v>3014.7775257756998</v>
      </c>
      <c r="M19" s="186">
        <f t="shared" si="4"/>
        <v>2.3519897093787542E-3</v>
      </c>
      <c r="N19" s="186">
        <f>L19*'DADOS BASE'!$I$29</f>
        <v>2968760.3558039898</v>
      </c>
      <c r="O19" s="187"/>
      <c r="P19" s="188">
        <v>0</v>
      </c>
      <c r="Q19" s="186">
        <f>P19*'DADOS BASE'!$I$33</f>
        <v>0</v>
      </c>
      <c r="R19" s="186"/>
      <c r="S19" s="188">
        <v>0</v>
      </c>
      <c r="T19" s="186">
        <f>S19*'DADOS BASE'!$I$37</f>
        <v>0</v>
      </c>
      <c r="U19" s="186"/>
      <c r="V19" s="186">
        <f t="shared" si="5"/>
        <v>0</v>
      </c>
      <c r="W19" s="187"/>
      <c r="X19" s="186"/>
      <c r="Y19" s="186"/>
      <c r="Z19" s="185"/>
      <c r="AA19" s="186"/>
      <c r="AB19" s="186"/>
      <c r="AC19" s="186"/>
      <c r="AD19" s="186"/>
      <c r="AE19" s="188">
        <v>2613</v>
      </c>
      <c r="AF19" s="188">
        <v>1622.8454378524</v>
      </c>
      <c r="AG19" s="186" t="s">
        <v>155</v>
      </c>
      <c r="AH19" s="189">
        <v>0.72699999999999998</v>
      </c>
      <c r="AI19" s="183">
        <f t="shared" si="6"/>
        <v>1179.8086333186948</v>
      </c>
      <c r="AJ19" s="186">
        <f t="shared" si="7"/>
        <v>6.3033228758247652E-3</v>
      </c>
      <c r="AK19" s="186"/>
      <c r="AL19" s="186">
        <f t="shared" si="8"/>
        <v>178.54381606898616</v>
      </c>
      <c r="AM19" s="187">
        <f t="shared" si="9"/>
        <v>289749.0173643122</v>
      </c>
      <c r="AN19" s="186"/>
      <c r="AO19" s="188">
        <v>1.6351989211058999</v>
      </c>
      <c r="AQ19" s="186">
        <f t="shared" si="10"/>
        <v>2653.6751090978764</v>
      </c>
      <c r="AR19" s="186">
        <f t="shared" si="11"/>
        <v>2.8234828276282624E-3</v>
      </c>
      <c r="AS19" s="187">
        <f>AR19*'DADOS BASE'!W$38</f>
        <v>846973.60531579179</v>
      </c>
      <c r="AU19" s="188">
        <v>0</v>
      </c>
      <c r="AV19" s="188">
        <v>0</v>
      </c>
      <c r="AW19" s="186">
        <f t="shared" si="12"/>
        <v>0</v>
      </c>
      <c r="AX19" s="186">
        <f>IF($AW$11&gt;0,(AW19/$AW$11)*'DADOS BASE'!W$40,0)</f>
        <v>0</v>
      </c>
      <c r="AY19" s="186">
        <f t="shared" si="13"/>
        <v>0</v>
      </c>
      <c r="AZ19" s="186">
        <f t="shared" si="14"/>
        <v>0</v>
      </c>
      <c r="BA19" s="186">
        <f>AZ19*'DADOS BASE'!W$41</f>
        <v>0</v>
      </c>
      <c r="BC19" s="188">
        <v>0</v>
      </c>
      <c r="BD19" s="186">
        <f>IF($BC$11&gt;0,(BC19/$BC$11)*'DADOS BASE'!W$39,0)</f>
        <v>0</v>
      </c>
      <c r="BE19" s="187"/>
    </row>
    <row r="20" spans="2:57" x14ac:dyDescent="0.3">
      <c r="B20" s="223" t="s">
        <v>152</v>
      </c>
      <c r="C20" s="223" t="s">
        <v>161</v>
      </c>
      <c r="D20" s="223" t="s">
        <v>94</v>
      </c>
      <c r="E20" s="223">
        <v>0</v>
      </c>
      <c r="F20" s="224"/>
      <c r="G20" s="225"/>
      <c r="H20" s="226">
        <f ca="1">IF(AND(E20&gt;=2018,SUMIF('DADOS BASE'!$C$101:$D$104,D20,'DADOS BASE'!$H$101:$H$104)&gt;J20),
SUMIF('DADOS BASE'!$C$101:$D$104,D20,'DADOS BASE'!$H$101:$H$104),
J20)</f>
        <v>1499721.6122145499</v>
      </c>
      <c r="I20" s="225"/>
      <c r="J20" s="226">
        <f t="shared" si="3"/>
        <v>1499721.6122145499</v>
      </c>
      <c r="K20" s="226"/>
      <c r="L20" s="227">
        <v>1522.9679965866001</v>
      </c>
      <c r="M20" s="226">
        <f t="shared" si="4"/>
        <v>1.1881490508203303E-3</v>
      </c>
      <c r="N20" s="226">
        <f>L20*'DADOS BASE'!$I$29</f>
        <v>1499721.6122145499</v>
      </c>
      <c r="O20" s="228"/>
      <c r="P20" s="227">
        <v>0</v>
      </c>
      <c r="Q20" s="226">
        <f>P20*'DADOS BASE'!$I$33</f>
        <v>0</v>
      </c>
      <c r="R20" s="226"/>
      <c r="S20" s="227">
        <v>0</v>
      </c>
      <c r="T20" s="226">
        <f>S20*'DADOS BASE'!$I$37</f>
        <v>0</v>
      </c>
      <c r="U20" s="226"/>
      <c r="V20" s="226">
        <f t="shared" si="5"/>
        <v>0</v>
      </c>
      <c r="W20" s="228"/>
      <c r="X20" s="226"/>
      <c r="Y20" s="226"/>
      <c r="Z20" s="224"/>
      <c r="AA20" s="226"/>
      <c r="AB20" s="226"/>
      <c r="AC20" s="226"/>
      <c r="AD20" s="226"/>
      <c r="AE20" s="227">
        <v>827</v>
      </c>
      <c r="AF20" s="227">
        <v>565.82367123030997</v>
      </c>
      <c r="AG20" s="226" t="s">
        <v>155</v>
      </c>
      <c r="AH20" s="229">
        <v>0.60299999999999998</v>
      </c>
      <c r="AI20" s="225">
        <f t="shared" si="6"/>
        <v>341.19167375187692</v>
      </c>
      <c r="AJ20" s="226">
        <f t="shared" si="7"/>
        <v>-0.16094714094607043</v>
      </c>
      <c r="AK20" s="226"/>
      <c r="AL20" s="226">
        <f t="shared" si="8"/>
        <v>208.59477300333995</v>
      </c>
      <c r="AM20" s="228">
        <f t="shared" si="9"/>
        <v>118027.86026020296</v>
      </c>
      <c r="AN20" s="226"/>
      <c r="AO20" s="227">
        <v>1.6986301369862999</v>
      </c>
      <c r="AP20" s="225"/>
      <c r="AQ20" s="226">
        <f t="shared" si="10"/>
        <v>961.12514017203262</v>
      </c>
      <c r="AR20" s="226">
        <f t="shared" si="11"/>
        <v>1.0226271931985211E-3</v>
      </c>
      <c r="AS20" s="228">
        <f>AR20*'DADOS BASE'!W$38</f>
        <v>306762.35472091747</v>
      </c>
      <c r="AT20" s="225"/>
      <c r="AU20" s="227">
        <v>0</v>
      </c>
      <c r="AV20" s="227">
        <v>0</v>
      </c>
      <c r="AW20" s="226">
        <f t="shared" si="12"/>
        <v>0</v>
      </c>
      <c r="AX20" s="226">
        <f>IF($AW$11&gt;0,(AW20/$AW$11)*'DADOS BASE'!W$40,0)</f>
        <v>0</v>
      </c>
      <c r="AY20" s="226">
        <f t="shared" si="13"/>
        <v>0</v>
      </c>
      <c r="AZ20" s="226">
        <f t="shared" si="14"/>
        <v>0</v>
      </c>
      <c r="BA20" s="226">
        <f>AZ20*'DADOS BASE'!W$41</f>
        <v>0</v>
      </c>
      <c r="BB20" s="225"/>
      <c r="BC20" s="227">
        <v>0</v>
      </c>
      <c r="BD20" s="226">
        <f>IF($BC$11&gt;0,(BC20/$BC$11)*'DADOS BASE'!W$39,0)</f>
        <v>0</v>
      </c>
      <c r="BE20" s="187"/>
    </row>
    <row r="21" spans="2:57" x14ac:dyDescent="0.3">
      <c r="B21" s="184" t="s">
        <v>152</v>
      </c>
      <c r="C21" s="184" t="s">
        <v>162</v>
      </c>
      <c r="D21" s="184" t="s">
        <v>94</v>
      </c>
      <c r="E21" s="184">
        <v>0</v>
      </c>
      <c r="F21" s="185"/>
      <c r="H21" s="186">
        <f ca="1">IF(AND(E21&gt;=2018,SUMIF('DADOS BASE'!$C$101:$D$104,D21,'DADOS BASE'!$H$101:$H$104)&gt;J21),
SUMIF('DADOS BASE'!$C$101:$D$104,D21,'DADOS BASE'!$H$101:$H$104),
J21)</f>
        <v>1284957.2666801035</v>
      </c>
      <c r="J21" s="186">
        <f t="shared" si="3"/>
        <v>1284957.2666801035</v>
      </c>
      <c r="K21" s="186"/>
      <c r="L21" s="188">
        <v>1297.8347035428001</v>
      </c>
      <c r="M21" s="186">
        <f t="shared" si="4"/>
        <v>1.0125104891187246E-3</v>
      </c>
      <c r="N21" s="186">
        <f>L21*'DADOS BASE'!$I$29</f>
        <v>1278024.7243196245</v>
      </c>
      <c r="O21" s="187"/>
      <c r="P21" s="188">
        <v>0</v>
      </c>
      <c r="Q21" s="186">
        <f>P21*'DADOS BASE'!$I$33</f>
        <v>0</v>
      </c>
      <c r="R21" s="186"/>
      <c r="S21" s="188">
        <v>8.8000000000000007</v>
      </c>
      <c r="T21" s="186">
        <f>S21*'DADOS BASE'!$I$37</f>
        <v>6932.542360478993</v>
      </c>
      <c r="U21" s="186"/>
      <c r="V21" s="186">
        <f t="shared" si="5"/>
        <v>6932.542360478993</v>
      </c>
      <c r="W21" s="187"/>
      <c r="X21" s="186"/>
      <c r="Y21" s="186"/>
      <c r="Z21" s="185"/>
      <c r="AA21" s="186"/>
      <c r="AB21" s="186"/>
      <c r="AC21" s="186"/>
      <c r="AD21" s="186"/>
      <c r="AE21" s="188">
        <v>748</v>
      </c>
      <c r="AF21" s="188">
        <v>607.41154704388998</v>
      </c>
      <c r="AG21" s="186" t="s">
        <v>155</v>
      </c>
      <c r="AH21" s="189">
        <v>0.53900000000000003</v>
      </c>
      <c r="AI21" s="183">
        <f t="shared" si="6"/>
        <v>327.39482385665673</v>
      </c>
      <c r="AJ21" s="186">
        <f t="shared" si="7"/>
        <v>-0.24726996098317758</v>
      </c>
      <c r="AK21" s="186"/>
      <c r="AL21" s="186">
        <f t="shared" si="8"/>
        <v>224.10494432429675</v>
      </c>
      <c r="AM21" s="187">
        <f t="shared" si="9"/>
        <v>136123.93093220593</v>
      </c>
      <c r="AN21" s="186"/>
      <c r="AO21" s="188">
        <v>1.8020833333333</v>
      </c>
      <c r="AQ21" s="186">
        <f t="shared" si="10"/>
        <v>1094.6062254019898</v>
      </c>
      <c r="AR21" s="186">
        <f t="shared" si="11"/>
        <v>1.1646496852013536E-3</v>
      </c>
      <c r="AS21" s="187">
        <f>AR21*'DADOS BASE'!W$38</f>
        <v>349365.51876729343</v>
      </c>
      <c r="AU21" s="188">
        <v>8.8000000000000007</v>
      </c>
      <c r="AV21" s="188">
        <v>11</v>
      </c>
      <c r="AW21" s="186">
        <f t="shared" si="12"/>
        <v>2.2000000000000002</v>
      </c>
      <c r="AX21" s="186">
        <f>IF($AW$11&gt;0,(AW21/$AW$11)*'DADOS BASE'!W$40,0)</f>
        <v>395.2880233921569</v>
      </c>
      <c r="AY21" s="186">
        <f t="shared" si="13"/>
        <v>3.9645833333332603</v>
      </c>
      <c r="AZ21" s="186">
        <f t="shared" si="14"/>
        <v>2.0734895907132325E-4</v>
      </c>
      <c r="BA21" s="186">
        <f>AZ21*'DADOS BASE'!W$41</f>
        <v>1531.8637889869779</v>
      </c>
      <c r="BC21" s="188">
        <v>0</v>
      </c>
      <c r="BD21" s="186">
        <f>IF($BC$11&gt;0,(BC21/$BC$11)*'DADOS BASE'!W$39,0)</f>
        <v>0</v>
      </c>
      <c r="BE21" s="187"/>
    </row>
    <row r="22" spans="2:57" x14ac:dyDescent="0.3">
      <c r="B22" s="223" t="s">
        <v>152</v>
      </c>
      <c r="C22" s="223" t="s">
        <v>163</v>
      </c>
      <c r="D22" s="223" t="s">
        <v>94</v>
      </c>
      <c r="E22" s="223">
        <v>0</v>
      </c>
      <c r="F22" s="224"/>
      <c r="G22" s="225"/>
      <c r="H22" s="226">
        <f ca="1">IF(AND(E22&gt;=2018,SUMIF('DADOS BASE'!$C$101:$D$104,D22,'DADOS BASE'!$H$101:$H$104)&gt;J22),
SUMIF('DADOS BASE'!$C$101:$D$104,D22,'DADOS BASE'!$H$101:$H$104),
J22)</f>
        <v>1261612.1700053541</v>
      </c>
      <c r="I22" s="225"/>
      <c r="J22" s="226">
        <f t="shared" si="3"/>
        <v>1261612.1700053541</v>
      </c>
      <c r="K22" s="226"/>
      <c r="L22" s="227">
        <v>1270.7677469828</v>
      </c>
      <c r="M22" s="226">
        <f t="shared" si="4"/>
        <v>9.9139410399609693E-4</v>
      </c>
      <c r="N22" s="226">
        <f>L22*'DADOS BASE'!$I$29</f>
        <v>1251370.9142455556</v>
      </c>
      <c r="O22" s="228"/>
      <c r="P22" s="227">
        <v>0</v>
      </c>
      <c r="Q22" s="226">
        <f>P22*'DADOS BASE'!$I$33</f>
        <v>0</v>
      </c>
      <c r="R22" s="226"/>
      <c r="S22" s="227">
        <v>13</v>
      </c>
      <c r="T22" s="226">
        <f>S22*'DADOS BASE'!$I$37</f>
        <v>10241.255759798512</v>
      </c>
      <c r="U22" s="226"/>
      <c r="V22" s="226">
        <f t="shared" si="5"/>
        <v>10241.255759798512</v>
      </c>
      <c r="W22" s="228"/>
      <c r="X22" s="226"/>
      <c r="Y22" s="226"/>
      <c r="Z22" s="224"/>
      <c r="AA22" s="226"/>
      <c r="AB22" s="226"/>
      <c r="AC22" s="226"/>
      <c r="AD22" s="226"/>
      <c r="AE22" s="227">
        <v>608</v>
      </c>
      <c r="AF22" s="227">
        <v>507.30322415885001</v>
      </c>
      <c r="AG22" s="226" t="s">
        <v>155</v>
      </c>
      <c r="AH22" s="229">
        <v>0.59899999999999998</v>
      </c>
      <c r="AI22" s="225">
        <f t="shared" si="6"/>
        <v>303.87463127115115</v>
      </c>
      <c r="AJ22" s="226">
        <f t="shared" si="7"/>
        <v>-0.16634231719838966</v>
      </c>
      <c r="AK22" s="226"/>
      <c r="AL22" s="226">
        <f t="shared" si="8"/>
        <v>209.56415871089976</v>
      </c>
      <c r="AM22" s="228">
        <f t="shared" si="9"/>
        <v>106312.5733821764</v>
      </c>
      <c r="AN22" s="226"/>
      <c r="AO22" s="227">
        <v>1.9534534534535</v>
      </c>
      <c r="AP22" s="225"/>
      <c r="AQ22" s="226">
        <f t="shared" si="10"/>
        <v>990.99323518120059</v>
      </c>
      <c r="AR22" s="226">
        <f t="shared" si="11"/>
        <v>1.0544065368955813E-3</v>
      </c>
      <c r="AS22" s="228">
        <f>AR22*'DADOS BASE'!W$38</f>
        <v>316295.3559640235</v>
      </c>
      <c r="AT22" s="225"/>
      <c r="AU22" s="227">
        <v>13</v>
      </c>
      <c r="AV22" s="227">
        <v>13</v>
      </c>
      <c r="AW22" s="226">
        <f t="shared" si="12"/>
        <v>3.25</v>
      </c>
      <c r="AX22" s="226">
        <f>IF($AW$11&gt;0,(AW22/$AW$11)*'DADOS BASE'!W$40,0)</f>
        <v>583.94821637477719</v>
      </c>
      <c r="AY22" s="226">
        <f t="shared" si="13"/>
        <v>6.3487237237238752</v>
      </c>
      <c r="AZ22" s="226">
        <f t="shared" si="14"/>
        <v>3.3204025363209712E-4</v>
      </c>
      <c r="BA22" s="226">
        <f>AZ22*'DADOS BASE'!W$41</f>
        <v>2453.0648395977764</v>
      </c>
      <c r="BB22" s="225"/>
      <c r="BC22" s="227">
        <v>0</v>
      </c>
      <c r="BD22" s="226">
        <f>IF($BC$11&gt;0,(BC22/$BC$11)*'DADOS BASE'!W$39,0)</f>
        <v>0</v>
      </c>
      <c r="BE22" s="187"/>
    </row>
    <row r="23" spans="2:57" x14ac:dyDescent="0.3">
      <c r="F23" s="185"/>
      <c r="H23" s="186"/>
      <c r="J23" s="186"/>
      <c r="K23" s="186"/>
      <c r="L23" s="186"/>
      <c r="M23" s="186"/>
      <c r="N23" s="186"/>
      <c r="O23" s="187"/>
      <c r="P23" s="186"/>
      <c r="Q23" s="186"/>
      <c r="R23" s="186"/>
      <c r="S23" s="186"/>
      <c r="T23" s="186"/>
      <c r="U23" s="186"/>
      <c r="V23" s="186"/>
      <c r="W23" s="187"/>
      <c r="X23" s="186"/>
      <c r="Y23" s="186"/>
      <c r="Z23" s="185"/>
      <c r="AA23" s="186"/>
      <c r="AB23" s="186"/>
      <c r="AC23" s="186"/>
      <c r="AD23" s="186"/>
      <c r="AE23" s="186"/>
      <c r="AF23" s="186"/>
      <c r="AG23" s="186"/>
      <c r="AH23" s="185"/>
      <c r="AJ23" s="186"/>
      <c r="AK23" s="186"/>
      <c r="AL23" s="186"/>
      <c r="AM23" s="187"/>
      <c r="AN23" s="186"/>
      <c r="AO23" s="186"/>
      <c r="AQ23" s="186"/>
      <c r="AR23" s="186"/>
      <c r="AS23" s="187"/>
      <c r="AU23" s="186"/>
      <c r="AV23" s="186"/>
      <c r="AW23" s="186"/>
      <c r="AX23" s="186"/>
      <c r="AY23" s="186"/>
      <c r="AZ23" s="186"/>
      <c r="BA23" s="186"/>
      <c r="BC23" s="186"/>
      <c r="BD23" s="186"/>
      <c r="BE23" s="187"/>
    </row>
    <row r="24" spans="2:57" x14ac:dyDescent="0.3">
      <c r="B24" s="209" t="s">
        <v>164</v>
      </c>
      <c r="C24" s="209" t="s">
        <v>165</v>
      </c>
      <c r="D24" s="211" t="s">
        <v>154</v>
      </c>
      <c r="E24" s="211"/>
      <c r="F24" s="210"/>
      <c r="G24" s="211"/>
      <c r="H24" s="212">
        <f ca="1">SUM(H25:H41)</f>
        <v>34314673.582142778</v>
      </c>
      <c r="I24" s="211"/>
      <c r="J24" s="212">
        <f>SUM(J25:J41)</f>
        <v>34314673.582142778</v>
      </c>
      <c r="K24" s="212"/>
      <c r="L24" s="212">
        <f>SUM(L25:L41)</f>
        <v>34382.153483716829</v>
      </c>
      <c r="M24" s="212">
        <f>SUM(M25:M41)</f>
        <v>2.68233627485252E-2</v>
      </c>
      <c r="N24" s="212">
        <f>SUM(N25:N41)</f>
        <v>33857348.788403027</v>
      </c>
      <c r="O24" s="214"/>
      <c r="P24" s="212">
        <f>SUM(P25:P41)</f>
        <v>1570.267012447996</v>
      </c>
      <c r="Q24" s="212">
        <f>SUM(Q25:Q41)</f>
        <v>386574.66552054422</v>
      </c>
      <c r="R24" s="212"/>
      <c r="S24" s="212">
        <f>SUM(S25:S41)</f>
        <v>89.808485250436703</v>
      </c>
      <c r="T24" s="212">
        <f>SUM(T25:T41)</f>
        <v>70750.128219216509</v>
      </c>
      <c r="U24" s="212"/>
      <c r="V24" s="212">
        <f>SUM(V25:V41)</f>
        <v>457324.79373976064</v>
      </c>
      <c r="W24" s="214"/>
      <c r="X24" s="212">
        <f>SUMIF(INDICADORES!$D$13:$D$53,C24,INDICADORES!$L$13:$L$53)</f>
        <v>7.5421717775611191E-3</v>
      </c>
      <c r="Y24" s="212">
        <f>X24*'DADOS BASE'!$I$79</f>
        <v>313175.23184875184</v>
      </c>
      <c r="Z24" s="210">
        <f>SUMIF(INDICADORES!$D$13:$D$53,C24,INDICADORES!$R$13:$R$53)</f>
        <v>2.476932775517221E-2</v>
      </c>
      <c r="AA24" s="212">
        <f>Z24*'DADOS BASE'!$I$84</f>
        <v>1028502.1597548625</v>
      </c>
      <c r="AB24" s="212">
        <f>SUMIF(INDICADORES!$D$13:$D$53,C24,INDICADORES!$Z$13:$Z$53)</f>
        <v>3.8235066649626545E-2</v>
      </c>
      <c r="AC24" s="212">
        <f>AB24*'DADOS BASE'!$I$89</f>
        <v>3175285.9032922597</v>
      </c>
      <c r="AD24" s="212"/>
      <c r="AE24" s="212">
        <f>SUM(AE25:AE41)</f>
        <v>19563</v>
      </c>
      <c r="AF24" s="212">
        <f>SUM(AF25:AF41)</f>
        <v>13694.725259078328</v>
      </c>
      <c r="AG24" s="212" t="s">
        <v>155</v>
      </c>
      <c r="AH24" s="210"/>
      <c r="AI24" s="211"/>
      <c r="AJ24" s="212"/>
      <c r="AK24" s="212"/>
      <c r="AL24" s="212"/>
      <c r="AM24" s="214">
        <f>SUM(AM25:AM41)</f>
        <v>2693904.5070571313</v>
      </c>
      <c r="AN24" s="212"/>
      <c r="AO24" s="212"/>
      <c r="AP24" s="211"/>
      <c r="AQ24" s="212">
        <f>SUM(AQ25:AQ41)</f>
        <v>26001.268908660699</v>
      </c>
      <c r="AR24" s="212"/>
      <c r="AS24" s="214">
        <f>SUM(AS25:AS41)</f>
        <v>8298826.180662455</v>
      </c>
      <c r="AT24" s="211"/>
      <c r="AU24" s="212">
        <f t="shared" ref="AU24:BA24" si="15">SUM(AU25:AU41)</f>
        <v>76.712173775026699</v>
      </c>
      <c r="AV24" s="212">
        <f t="shared" si="15"/>
        <v>354.5</v>
      </c>
      <c r="AW24" s="212">
        <f t="shared" si="15"/>
        <v>19.178043443756675</v>
      </c>
      <c r="AX24" s="212">
        <f t="shared" si="15"/>
        <v>3445.8413115506769</v>
      </c>
      <c r="AY24" s="212">
        <f t="shared" si="15"/>
        <v>39.986911447759141</v>
      </c>
      <c r="AZ24" s="212">
        <f t="shared" si="15"/>
        <v>2.0913280837003105E-3</v>
      </c>
      <c r="BA24" s="212">
        <f t="shared" si="15"/>
        <v>15450.426067536027</v>
      </c>
      <c r="BB24" s="211"/>
      <c r="BC24" s="212">
        <f>SUM(BC25:BC41)</f>
        <v>60.5</v>
      </c>
      <c r="BD24" s="212">
        <f>SUM(BD25:BD41)</f>
        <v>326893.84275709628</v>
      </c>
      <c r="BE24" s="187"/>
    </row>
    <row r="25" spans="2:57" x14ac:dyDescent="0.3">
      <c r="B25" s="216" t="s">
        <v>164</v>
      </c>
      <c r="C25" s="218" t="s">
        <v>156</v>
      </c>
      <c r="D25" s="218" t="s">
        <v>157</v>
      </c>
      <c r="E25" s="218"/>
      <c r="F25" s="217"/>
      <c r="G25" s="218"/>
      <c r="H25" s="219"/>
      <c r="I25" s="218"/>
      <c r="J25" s="219"/>
      <c r="K25" s="219"/>
      <c r="L25" s="219">
        <v>0</v>
      </c>
      <c r="M25" s="219">
        <v>0</v>
      </c>
      <c r="N25" s="219">
        <v>0</v>
      </c>
      <c r="O25" s="221"/>
      <c r="P25" s="219"/>
      <c r="Q25" s="219"/>
      <c r="R25" s="219"/>
      <c r="S25" s="219"/>
      <c r="T25" s="219"/>
      <c r="U25" s="219"/>
      <c r="V25" s="219"/>
      <c r="W25" s="221"/>
      <c r="X25" s="219"/>
      <c r="Y25" s="219"/>
      <c r="Z25" s="217"/>
      <c r="AA25" s="219"/>
      <c r="AB25" s="219"/>
      <c r="AC25" s="219"/>
      <c r="AD25" s="219"/>
      <c r="AE25" s="219"/>
      <c r="AF25" s="219"/>
      <c r="AG25" s="219" t="s">
        <v>155</v>
      </c>
      <c r="AH25" s="217"/>
      <c r="AI25" s="218"/>
      <c r="AJ25" s="219"/>
      <c r="AK25" s="219"/>
      <c r="AL25" s="219"/>
      <c r="AM25" s="221"/>
      <c r="AN25" s="219"/>
      <c r="AO25" s="219"/>
      <c r="AP25" s="218"/>
      <c r="AQ25" s="219"/>
      <c r="AR25" s="219"/>
      <c r="AS25" s="221"/>
      <c r="AT25" s="218"/>
      <c r="AU25" s="219"/>
      <c r="AV25" s="219"/>
      <c r="AW25" s="219"/>
      <c r="AX25" s="219"/>
      <c r="AY25" s="219"/>
      <c r="AZ25" s="219"/>
      <c r="BA25" s="219"/>
      <c r="BB25" s="218"/>
      <c r="BC25" s="219"/>
      <c r="BD25" s="219"/>
      <c r="BE25" s="187"/>
    </row>
    <row r="26" spans="2:57" x14ac:dyDescent="0.3">
      <c r="B26" s="223" t="s">
        <v>164</v>
      </c>
      <c r="C26" s="223" t="s">
        <v>166</v>
      </c>
      <c r="D26" s="223" t="s">
        <v>94</v>
      </c>
      <c r="E26" s="223">
        <v>2010</v>
      </c>
      <c r="F26" s="224"/>
      <c r="G26" s="225"/>
      <c r="H26" s="226">
        <f ca="1">IF(AND(E26&gt;=2018,SUMIF('DADOS BASE'!$C$101:$D$104,D26,'DADOS BASE'!$H$101:$H$104)&gt;J26),
SUMIF('DADOS BASE'!$C$101:$D$104,D26,'DADOS BASE'!$H$101:$H$104),
J26)</f>
        <v>1884668.9998249609</v>
      </c>
      <c r="I26" s="225"/>
      <c r="J26" s="226">
        <f t="shared" ref="J26:J41" si="16">N26+Q26+T26</f>
        <v>1884668.9998249609</v>
      </c>
      <c r="K26" s="226"/>
      <c r="L26" s="227">
        <v>1848.4463006092001</v>
      </c>
      <c r="M26" s="226">
        <f t="shared" ref="M26:M41" si="17">L26/$L$11</f>
        <v>1.4420721397189833E-3</v>
      </c>
      <c r="N26" s="226">
        <f>L26*'DADOS BASE'!$I$29</f>
        <v>1820231.8579607906</v>
      </c>
      <c r="O26" s="228"/>
      <c r="P26" s="227">
        <v>225.46444618887</v>
      </c>
      <c r="Q26" s="226">
        <f>P26*'DADOS BASE'!$I$33</f>
        <v>55505.74659042179</v>
      </c>
      <c r="R26" s="226"/>
      <c r="S26" s="227">
        <v>11.337295081967</v>
      </c>
      <c r="T26" s="226">
        <f>S26*'DADOS BASE'!$I$37</f>
        <v>8931.3952737484524</v>
      </c>
      <c r="U26" s="226"/>
      <c r="V26" s="226">
        <f t="shared" ref="V26:V41" si="18">T26+Q26</f>
        <v>64437.14186417024</v>
      </c>
      <c r="W26" s="228"/>
      <c r="X26" s="226"/>
      <c r="Y26" s="226"/>
      <c r="Z26" s="224"/>
      <c r="AA26" s="226"/>
      <c r="AB26" s="226"/>
      <c r="AC26" s="226"/>
      <c r="AD26" s="226"/>
      <c r="AE26" s="227">
        <v>1385</v>
      </c>
      <c r="AF26" s="227">
        <v>916.96731832856005</v>
      </c>
      <c r="AG26" s="226" t="s">
        <v>155</v>
      </c>
      <c r="AH26" s="229">
        <v>0.64900000000000002</v>
      </c>
      <c r="AI26" s="225">
        <f t="shared" ref="AI26:AI41" si="19">AF26*AH26</f>
        <v>595.11178959523545</v>
      </c>
      <c r="AJ26" s="226">
        <f t="shared" ref="AJ26:AJ41" si="20">(AH26-$AI$12)*$AJ$12</f>
        <v>-9.8902614044399581E-2</v>
      </c>
      <c r="AK26" s="226"/>
      <c r="AL26" s="226">
        <f t="shared" ref="AL26:AL41" si="21">$AL$11-(AJ26*$AL$11)</f>
        <v>197.44683736640224</v>
      </c>
      <c r="AM26" s="228">
        <f t="shared" ref="AM26:AM41" si="22">AF26*AL26</f>
        <v>181052.29697232519</v>
      </c>
      <c r="AN26" s="226"/>
      <c r="AO26" s="227">
        <v>2.1856846473028999</v>
      </c>
      <c r="AP26" s="225"/>
      <c r="AQ26" s="226">
        <f t="shared" ref="AQ26:AQ41" si="23">AF26*AO26</f>
        <v>2004.2013897492448</v>
      </c>
      <c r="AR26" s="226">
        <f t="shared" ref="AR26:AR41" si="24">AQ26/$AQ$11</f>
        <v>2.1324495179025228E-3</v>
      </c>
      <c r="AS26" s="228">
        <f>AR26*'DADOS BASE'!W$38</f>
        <v>639681.04875954823</v>
      </c>
      <c r="AT26" s="225"/>
      <c r="AU26" s="227">
        <v>7.7081967213115004</v>
      </c>
      <c r="AV26" s="227">
        <v>42.5</v>
      </c>
      <c r="AW26" s="226">
        <f t="shared" ref="AW26:AW41" si="25">AU26/4</f>
        <v>1.9270491803278751</v>
      </c>
      <c r="AX26" s="226">
        <f>IF($AW$11&gt;0,(AW26/$AW$11)*'DADOS BASE'!W$40,0)</f>
        <v>346.24520975967351</v>
      </c>
      <c r="AY26" s="226">
        <f t="shared" ref="AY26:AY41" si="26">AO26*AW26</f>
        <v>4.2119218080402741</v>
      </c>
      <c r="AZ26" s="226">
        <f t="shared" ref="AZ26:AZ41" si="27">IF($AY$11&gt;0,AY26/$AY$11,0)</f>
        <v>2.2028483932829578E-4</v>
      </c>
      <c r="BA26" s="226">
        <f>AZ26*'DADOS BASE'!W$41</f>
        <v>1627.4321807121157</v>
      </c>
      <c r="BB26" s="225"/>
      <c r="BC26" s="227">
        <v>0</v>
      </c>
      <c r="BD26" s="226">
        <f>IF($BC$11&gt;0,(BC26/$BC$11)*'DADOS BASE'!W$39,0)</f>
        <v>0</v>
      </c>
      <c r="BE26" s="187"/>
    </row>
    <row r="27" spans="2:57" x14ac:dyDescent="0.3">
      <c r="B27" s="184" t="s">
        <v>164</v>
      </c>
      <c r="C27" s="184" t="s">
        <v>167</v>
      </c>
      <c r="D27" s="184" t="s">
        <v>98</v>
      </c>
      <c r="E27" s="184">
        <v>2016</v>
      </c>
      <c r="F27" s="185"/>
      <c r="H27" s="186">
        <f ca="1">IF(AND(E27&gt;=2018,SUMIF('DADOS BASE'!$C$101:$D$104,D27,'DADOS BASE'!$H$101:$H$104)&gt;J27),
SUMIF('DADOS BASE'!$C$101:$D$104,D27,'DADOS BASE'!$H$101:$H$104),
J27)</f>
        <v>275009.80934339797</v>
      </c>
      <c r="J27" s="186">
        <f t="shared" si="16"/>
        <v>275009.80934339797</v>
      </c>
      <c r="K27" s="186"/>
      <c r="L27" s="188">
        <v>278.38659378614</v>
      </c>
      <c r="M27" s="186">
        <f t="shared" si="17"/>
        <v>2.1718431898072973E-4</v>
      </c>
      <c r="N27" s="186">
        <f>L27*'DADOS BASE'!$I$29</f>
        <v>274137.33721759566</v>
      </c>
      <c r="O27" s="187"/>
      <c r="P27" s="188">
        <v>0</v>
      </c>
      <c r="Q27" s="186">
        <f>P27*'DADOS BASE'!$I$33</f>
        <v>0</v>
      </c>
      <c r="R27" s="186"/>
      <c r="S27" s="188">
        <v>1.107494813278</v>
      </c>
      <c r="T27" s="186">
        <f>S27*'DADOS BASE'!$I$37</f>
        <v>872.47212580233042</v>
      </c>
      <c r="U27" s="186"/>
      <c r="V27" s="186">
        <f t="shared" si="18"/>
        <v>872.47212580233042</v>
      </c>
      <c r="W27" s="187"/>
      <c r="X27" s="186"/>
      <c r="Y27" s="186"/>
      <c r="Z27" s="185"/>
      <c r="AA27" s="186"/>
      <c r="AB27" s="186"/>
      <c r="AC27" s="186"/>
      <c r="AD27" s="186"/>
      <c r="AE27" s="188">
        <v>588</v>
      </c>
      <c r="AF27" s="188">
        <v>159.53210813851999</v>
      </c>
      <c r="AG27" s="186" t="s">
        <v>155</v>
      </c>
      <c r="AH27" s="189">
        <v>0.72099999999999997</v>
      </c>
      <c r="AI27" s="183">
        <f t="shared" si="19"/>
        <v>115.02264996787291</v>
      </c>
      <c r="AJ27" s="186">
        <f t="shared" si="20"/>
        <v>-1.7894415026540422E-3</v>
      </c>
      <c r="AK27" s="186"/>
      <c r="AL27" s="186">
        <f t="shared" si="21"/>
        <v>179.99789463032585</v>
      </c>
      <c r="AM27" s="187">
        <f t="shared" si="22"/>
        <v>28715.443590871069</v>
      </c>
      <c r="AN27" s="186"/>
      <c r="AO27" s="188">
        <v>2.1594650205760999</v>
      </c>
      <c r="AQ27" s="186">
        <f t="shared" si="23"/>
        <v>344.50400718389767</v>
      </c>
      <c r="AR27" s="186">
        <f t="shared" si="24"/>
        <v>3.6654869505239884E-4</v>
      </c>
      <c r="AS27" s="187">
        <f>AR27*'DADOS BASE'!W$38</f>
        <v>109955.35964818113</v>
      </c>
      <c r="AU27" s="188">
        <v>1.107494813278</v>
      </c>
      <c r="AV27" s="188">
        <v>3.25</v>
      </c>
      <c r="AW27" s="186">
        <f t="shared" si="25"/>
        <v>0.27687370331950001</v>
      </c>
      <c r="AX27" s="186">
        <f>IF($AW$11&gt;0,(AW27/$AW$11)*'DADOS BASE'!W$40,0)</f>
        <v>49.747663142923457</v>
      </c>
      <c r="AY27" s="186">
        <f t="shared" si="26"/>
        <v>0.59789907743582504</v>
      </c>
      <c r="AZ27" s="186">
        <f t="shared" si="27"/>
        <v>3.1270310373774069E-5</v>
      </c>
      <c r="BA27" s="186">
        <f>AZ27*'DADOS BASE'!W$41</f>
        <v>231.020480384911</v>
      </c>
      <c r="BC27" s="188">
        <v>0</v>
      </c>
      <c r="BD27" s="186">
        <f>IF($BC$11&gt;0,(BC27/$BC$11)*'DADOS BASE'!W$39,0)</f>
        <v>0</v>
      </c>
      <c r="BE27" s="187"/>
    </row>
    <row r="28" spans="2:57" x14ac:dyDescent="0.3">
      <c r="B28" s="223" t="s">
        <v>164</v>
      </c>
      <c r="C28" s="223" t="s">
        <v>168</v>
      </c>
      <c r="D28" s="223" t="s">
        <v>94</v>
      </c>
      <c r="E28" s="223">
        <v>2014</v>
      </c>
      <c r="F28" s="224"/>
      <c r="G28" s="225"/>
      <c r="H28" s="226">
        <f ca="1">IF(AND(E28&gt;=2018,SUMIF('DADOS BASE'!$C$101:$D$104,D28,'DADOS BASE'!$H$101:$H$104)&gt;J28),
SUMIF('DADOS BASE'!$C$101:$D$104,D28,'DADOS BASE'!$H$101:$H$104),
J28)</f>
        <v>1212388.8083547447</v>
      </c>
      <c r="I28" s="225"/>
      <c r="J28" s="226">
        <f t="shared" si="16"/>
        <v>1212388.8083547447</v>
      </c>
      <c r="K28" s="226"/>
      <c r="L28" s="227">
        <v>1230.6414002716999</v>
      </c>
      <c r="M28" s="226">
        <f t="shared" si="17"/>
        <v>9.6008938789928042E-4</v>
      </c>
      <c r="N28" s="226">
        <f>L28*'DADOS BASE'!$I$29</f>
        <v>1211857.0508441397</v>
      </c>
      <c r="O28" s="228"/>
      <c r="P28" s="227">
        <v>0</v>
      </c>
      <c r="Q28" s="226">
        <f>P28*'DADOS BASE'!$I$33</f>
        <v>0</v>
      </c>
      <c r="R28" s="226"/>
      <c r="S28" s="227">
        <v>0.67500000000000004</v>
      </c>
      <c r="T28" s="226">
        <f>S28*'DADOS BASE'!$I$37</f>
        <v>531.7575106049228</v>
      </c>
      <c r="U28" s="226"/>
      <c r="V28" s="226">
        <f t="shared" si="18"/>
        <v>531.7575106049228</v>
      </c>
      <c r="W28" s="228"/>
      <c r="X28" s="226"/>
      <c r="Y28" s="226"/>
      <c r="Z28" s="224"/>
      <c r="AA28" s="226"/>
      <c r="AB28" s="226"/>
      <c r="AC28" s="226"/>
      <c r="AD28" s="226"/>
      <c r="AE28" s="227">
        <v>426</v>
      </c>
      <c r="AF28" s="227">
        <v>352.52473195942002</v>
      </c>
      <c r="AG28" s="226" t="s">
        <v>155</v>
      </c>
      <c r="AH28" s="229">
        <v>0.59399999999999997</v>
      </c>
      <c r="AI28" s="225">
        <f t="shared" si="19"/>
        <v>209.39969078389549</v>
      </c>
      <c r="AJ28" s="226">
        <f t="shared" si="20"/>
        <v>-0.17308628751378866</v>
      </c>
      <c r="AK28" s="226"/>
      <c r="AL28" s="226">
        <f t="shared" si="21"/>
        <v>210.77589084534952</v>
      </c>
      <c r="AM28" s="228">
        <f t="shared" si="22"/>
        <v>74303.714423764817</v>
      </c>
      <c r="AN28" s="226"/>
      <c r="AO28" s="227">
        <v>1.8456057007126001</v>
      </c>
      <c r="AP28" s="225"/>
      <c r="AQ28" s="226">
        <f t="shared" si="23"/>
        <v>650.62165494648696</v>
      </c>
      <c r="AR28" s="226">
        <f t="shared" si="24"/>
        <v>6.9225470131081194E-4</v>
      </c>
      <c r="AS28" s="228">
        <f>AR28*'DADOS BASE'!W$38</f>
        <v>207658.9432132433</v>
      </c>
      <c r="AT28" s="225"/>
      <c r="AU28" s="227">
        <v>0.67500000000000004</v>
      </c>
      <c r="AV28" s="227">
        <v>6.75</v>
      </c>
      <c r="AW28" s="226">
        <f t="shared" si="25"/>
        <v>0.16875000000000001</v>
      </c>
      <c r="AX28" s="226">
        <f>IF($AW$11&gt;0,(AW28/$AW$11)*'DADOS BASE'!W$40,0)</f>
        <v>30.320388157921123</v>
      </c>
      <c r="AY28" s="226">
        <f t="shared" si="26"/>
        <v>0.31144596199525126</v>
      </c>
      <c r="AZ28" s="226">
        <f t="shared" si="27"/>
        <v>1.6288722066635864E-5</v>
      </c>
      <c r="BA28" s="226">
        <f>AZ28*'DADOS BASE'!W$41</f>
        <v>120.33869672897497</v>
      </c>
      <c r="BB28" s="225"/>
      <c r="BC28" s="227">
        <v>0</v>
      </c>
      <c r="BD28" s="226">
        <f>IF($BC$11&gt;0,(BC28/$BC$11)*'DADOS BASE'!W$39,0)</f>
        <v>0</v>
      </c>
      <c r="BE28" s="187"/>
    </row>
    <row r="29" spans="2:57" x14ac:dyDescent="0.3">
      <c r="B29" s="184" t="s">
        <v>164</v>
      </c>
      <c r="C29" s="184" t="s">
        <v>169</v>
      </c>
      <c r="D29" s="184" t="s">
        <v>94</v>
      </c>
      <c r="E29" s="184">
        <v>2014</v>
      </c>
      <c r="F29" s="185"/>
      <c r="H29" s="186">
        <f ca="1">IF(AND(E29&gt;=2018,SUMIF('DADOS BASE'!$C$101:$D$104,D29,'DADOS BASE'!$H$101:$H$104)&gt;J29),
SUMIF('DADOS BASE'!$C$101:$D$104,D29,'DADOS BASE'!$H$101:$H$104),
J29)</f>
        <v>1420786.0222612827</v>
      </c>
      <c r="J29" s="186">
        <f t="shared" si="16"/>
        <v>1420786.0222612827</v>
      </c>
      <c r="K29" s="186"/>
      <c r="L29" s="188">
        <v>1442.8088681781001</v>
      </c>
      <c r="M29" s="186">
        <f t="shared" si="17"/>
        <v>1.1256126137142281E-3</v>
      </c>
      <c r="N29" s="186">
        <f>L29*'DADOS BASE'!$I$29</f>
        <v>1420786.0222612827</v>
      </c>
      <c r="O29" s="187"/>
      <c r="P29" s="188">
        <v>0</v>
      </c>
      <c r="Q29" s="186">
        <f>P29*'DADOS BASE'!$I$33</f>
        <v>0</v>
      </c>
      <c r="R29" s="186"/>
      <c r="S29" s="188">
        <v>0</v>
      </c>
      <c r="T29" s="186">
        <f>S29*'DADOS BASE'!$I$37</f>
        <v>0</v>
      </c>
      <c r="U29" s="186"/>
      <c r="V29" s="186">
        <f t="shared" si="18"/>
        <v>0</v>
      </c>
      <c r="W29" s="187"/>
      <c r="X29" s="186"/>
      <c r="Y29" s="186"/>
      <c r="Z29" s="185"/>
      <c r="AA29" s="186"/>
      <c r="AB29" s="186"/>
      <c r="AC29" s="186"/>
      <c r="AD29" s="186"/>
      <c r="AE29" s="188">
        <v>628</v>
      </c>
      <c r="AF29" s="188">
        <v>577.12354727121999</v>
      </c>
      <c r="AG29" s="186" t="s">
        <v>155</v>
      </c>
      <c r="AH29" s="189">
        <v>0.626</v>
      </c>
      <c r="AI29" s="183">
        <f t="shared" si="19"/>
        <v>361.27934059178369</v>
      </c>
      <c r="AJ29" s="186">
        <f t="shared" si="20"/>
        <v>-0.12992487749523501</v>
      </c>
      <c r="AK29" s="186"/>
      <c r="AL29" s="186">
        <f t="shared" si="21"/>
        <v>203.02080518487111</v>
      </c>
      <c r="AM29" s="187">
        <f t="shared" si="22"/>
        <v>117168.08725815211</v>
      </c>
      <c r="AN29" s="186"/>
      <c r="AO29" s="188">
        <v>2.1531141868511998</v>
      </c>
      <c r="AQ29" s="186">
        <f t="shared" si="23"/>
        <v>1242.6128971955527</v>
      </c>
      <c r="AR29" s="186">
        <f t="shared" si="24"/>
        <v>1.3221272508426132E-3</v>
      </c>
      <c r="AS29" s="187">
        <f>AR29*'DADOS BASE'!W$38</f>
        <v>396604.81493810494</v>
      </c>
      <c r="AU29" s="188">
        <v>0</v>
      </c>
      <c r="AV29" s="188">
        <v>0</v>
      </c>
      <c r="AW29" s="186">
        <f t="shared" si="25"/>
        <v>0</v>
      </c>
      <c r="AX29" s="186">
        <f>IF($AW$11&gt;0,(AW29/$AW$11)*'DADOS BASE'!W$40,0)</f>
        <v>0</v>
      </c>
      <c r="AY29" s="186">
        <f t="shared" si="26"/>
        <v>0</v>
      </c>
      <c r="AZ29" s="186">
        <f t="shared" si="27"/>
        <v>0</v>
      </c>
      <c r="BA29" s="186">
        <f>AZ29*'DADOS BASE'!W$41</f>
        <v>0</v>
      </c>
      <c r="BC29" s="188">
        <v>0</v>
      </c>
      <c r="BD29" s="186">
        <f>IF($BC$11&gt;0,(BC29/$BC$11)*'DADOS BASE'!W$39,0)</f>
        <v>0</v>
      </c>
      <c r="BE29" s="187"/>
    </row>
    <row r="30" spans="2:57" x14ac:dyDescent="0.3">
      <c r="B30" s="223" t="s">
        <v>164</v>
      </c>
      <c r="C30" s="223" t="s">
        <v>170</v>
      </c>
      <c r="D30" s="223" t="s">
        <v>94</v>
      </c>
      <c r="E30" s="223">
        <v>2009</v>
      </c>
      <c r="F30" s="224"/>
      <c r="G30" s="225"/>
      <c r="H30" s="226">
        <f ca="1">IF(AND(E30&gt;=2018,SUMIF('DADOS BASE'!$C$101:$D$104,D30,'DADOS BASE'!$H$101:$H$104)&gt;J30),
SUMIF('DADOS BASE'!$C$101:$D$104,D30,'DADOS BASE'!$H$101:$H$104),
J30)</f>
        <v>10321887.97773933</v>
      </c>
      <c r="I30" s="225"/>
      <c r="J30" s="226">
        <f t="shared" si="16"/>
        <v>10321887.97773933</v>
      </c>
      <c r="K30" s="226"/>
      <c r="L30" s="227">
        <v>10439.951708635001</v>
      </c>
      <c r="M30" s="226">
        <f t="shared" si="17"/>
        <v>8.1447664960958514E-3</v>
      </c>
      <c r="N30" s="226">
        <f>L30*'DADOS BASE'!$I$29</f>
        <v>10280597.650776587</v>
      </c>
      <c r="O30" s="228"/>
      <c r="P30" s="227">
        <v>123.27242339564</v>
      </c>
      <c r="Q30" s="226">
        <f>P30*'DADOS BASE'!$I$33</f>
        <v>30347.702310695167</v>
      </c>
      <c r="R30" s="226"/>
      <c r="S30" s="227">
        <v>13.890300546448</v>
      </c>
      <c r="T30" s="226">
        <f>S30*'DADOS BASE'!$I$37</f>
        <v>10942.624652049461</v>
      </c>
      <c r="U30" s="226"/>
      <c r="V30" s="226">
        <f t="shared" si="18"/>
        <v>41290.326962744628</v>
      </c>
      <c r="W30" s="228"/>
      <c r="X30" s="226"/>
      <c r="Y30" s="226"/>
      <c r="Z30" s="224"/>
      <c r="AA30" s="226"/>
      <c r="AB30" s="226"/>
      <c r="AC30" s="226"/>
      <c r="AD30" s="226"/>
      <c r="AE30" s="227">
        <v>6688</v>
      </c>
      <c r="AF30" s="227">
        <v>4527.6719581273001</v>
      </c>
      <c r="AG30" s="226" t="s">
        <v>155</v>
      </c>
      <c r="AH30" s="229">
        <v>0.72099999999999997</v>
      </c>
      <c r="AI30" s="225">
        <f t="shared" si="19"/>
        <v>3264.4514818097832</v>
      </c>
      <c r="AJ30" s="226">
        <f t="shared" si="20"/>
        <v>-1.7894415026540422E-3</v>
      </c>
      <c r="AK30" s="226"/>
      <c r="AL30" s="226">
        <f t="shared" si="21"/>
        <v>179.99789463032585</v>
      </c>
      <c r="AM30" s="228">
        <f t="shared" si="22"/>
        <v>814971.42003967881</v>
      </c>
      <c r="AN30" s="226"/>
      <c r="AO30" s="227">
        <v>1.3465608465608001</v>
      </c>
      <c r="AP30" s="225"/>
      <c r="AQ30" s="226">
        <f t="shared" si="23"/>
        <v>6096.7857848854928</v>
      </c>
      <c r="AR30" s="226">
        <f t="shared" si="24"/>
        <v>6.486916920739513E-3</v>
      </c>
      <c r="AS30" s="228">
        <f>AR30*'DADOS BASE'!W$38</f>
        <v>1945911.3963721008</v>
      </c>
      <c r="AT30" s="225"/>
      <c r="AU30" s="227">
        <v>13.890300546448</v>
      </c>
      <c r="AV30" s="227">
        <v>54.25</v>
      </c>
      <c r="AW30" s="226">
        <f t="shared" si="25"/>
        <v>3.4725751366119999</v>
      </c>
      <c r="AX30" s="226">
        <f>IF($AW$11&gt;0,(AW30/$AW$11)*'DADOS BASE'!W$40,0)</f>
        <v>623.93970992368475</v>
      </c>
      <c r="AY30" s="226">
        <f t="shared" si="26"/>
        <v>4.6760337157022409</v>
      </c>
      <c r="AZ30" s="226">
        <f t="shared" si="27"/>
        <v>2.4455803851601625E-4</v>
      </c>
      <c r="BA30" s="226">
        <f>AZ30*'DADOS BASE'!W$41</f>
        <v>1806.759026841818</v>
      </c>
      <c r="BB30" s="225"/>
      <c r="BC30" s="227">
        <v>0</v>
      </c>
      <c r="BD30" s="226">
        <f>IF($BC$11&gt;0,(BC30/$BC$11)*'DADOS BASE'!W$39,0)</f>
        <v>0</v>
      </c>
      <c r="BE30" s="187"/>
    </row>
    <row r="31" spans="2:57" x14ac:dyDescent="0.3">
      <c r="B31" s="184" t="s">
        <v>164</v>
      </c>
      <c r="C31" s="184" t="s">
        <v>171</v>
      </c>
      <c r="D31" s="184" t="s">
        <v>94</v>
      </c>
      <c r="E31" s="184">
        <v>2009</v>
      </c>
      <c r="F31" s="185"/>
      <c r="H31" s="186">
        <f ca="1">IF(AND(E31&gt;=2018,SUMIF('DADOS BASE'!$C$101:$D$104,D31,'DADOS BASE'!$H$101:$H$104)&gt;J31),
SUMIF('DADOS BASE'!$C$101:$D$104,D31,'DADOS BASE'!$H$101:$H$104),
J31)</f>
        <v>1613783.0953531754</v>
      </c>
      <c r="J31" s="186">
        <f t="shared" si="16"/>
        <v>1613783.0953531754</v>
      </c>
      <c r="K31" s="186"/>
      <c r="L31" s="188">
        <v>1615.3487504544</v>
      </c>
      <c r="M31" s="186">
        <f t="shared" si="17"/>
        <v>1.260220233713274E-3</v>
      </c>
      <c r="N31" s="186">
        <f>L31*'DADOS BASE'!$I$29</f>
        <v>1590692.2783340821</v>
      </c>
      <c r="O31" s="187"/>
      <c r="P31" s="188">
        <v>93.794941804399997</v>
      </c>
      <c r="Q31" s="186">
        <f>P31*'DADOS BASE'!$I$33</f>
        <v>23090.817019093214</v>
      </c>
      <c r="R31" s="186"/>
      <c r="S31" s="188">
        <v>0</v>
      </c>
      <c r="T31" s="186">
        <f>S31*'DADOS BASE'!$I$37</f>
        <v>0</v>
      </c>
      <c r="U31" s="186"/>
      <c r="V31" s="186">
        <f t="shared" si="18"/>
        <v>23090.817019093214</v>
      </c>
      <c r="W31" s="187"/>
      <c r="X31" s="186"/>
      <c r="Y31" s="186"/>
      <c r="Z31" s="185"/>
      <c r="AA31" s="186"/>
      <c r="AB31" s="186"/>
      <c r="AC31" s="186"/>
      <c r="AD31" s="186"/>
      <c r="AE31" s="188">
        <v>705</v>
      </c>
      <c r="AF31" s="188">
        <v>556.38740694788999</v>
      </c>
      <c r="AG31" s="186" t="s">
        <v>155</v>
      </c>
      <c r="AH31" s="189">
        <v>0.57399999999999995</v>
      </c>
      <c r="AI31" s="183">
        <f t="shared" si="19"/>
        <v>319.36637158808884</v>
      </c>
      <c r="AJ31" s="186">
        <f t="shared" si="20"/>
        <v>-0.20006216877538469</v>
      </c>
      <c r="AK31" s="186"/>
      <c r="AL31" s="186">
        <f t="shared" si="21"/>
        <v>215.62281938314851</v>
      </c>
      <c r="AM31" s="187">
        <f t="shared" si="22"/>
        <v>119969.82135538323</v>
      </c>
      <c r="AN31" s="186"/>
      <c r="AO31" s="188">
        <v>2.3498293515358002</v>
      </c>
      <c r="AQ31" s="186">
        <f t="shared" si="23"/>
        <v>1307.4154596710457</v>
      </c>
      <c r="AR31" s="186">
        <f t="shared" si="24"/>
        <v>1.3910765060504455E-3</v>
      </c>
      <c r="AS31" s="187">
        <f>AR31*'DADOS BASE'!W$38</f>
        <v>417287.85175199312</v>
      </c>
      <c r="AU31" s="188">
        <v>0</v>
      </c>
      <c r="AV31" s="188">
        <v>14.75</v>
      </c>
      <c r="AW31" s="186">
        <f t="shared" si="25"/>
        <v>0</v>
      </c>
      <c r="AX31" s="186">
        <f>IF($AW$11&gt;0,(AW31/$AW$11)*'DADOS BASE'!W$40,0)</f>
        <v>0</v>
      </c>
      <c r="AY31" s="186">
        <f t="shared" si="26"/>
        <v>0</v>
      </c>
      <c r="AZ31" s="186">
        <f t="shared" si="27"/>
        <v>0</v>
      </c>
      <c r="BA31" s="186">
        <f>AZ31*'DADOS BASE'!W$41</f>
        <v>0</v>
      </c>
      <c r="BC31" s="188">
        <v>0</v>
      </c>
      <c r="BD31" s="186">
        <f>IF($BC$11&gt;0,(BC31/$BC$11)*'DADOS BASE'!W$39,0)</f>
        <v>0</v>
      </c>
      <c r="BE31" s="187"/>
    </row>
    <row r="32" spans="2:57" x14ac:dyDescent="0.3">
      <c r="B32" s="223" t="s">
        <v>164</v>
      </c>
      <c r="C32" s="223" t="s">
        <v>172</v>
      </c>
      <c r="D32" s="223" t="s">
        <v>94</v>
      </c>
      <c r="E32" s="223">
        <v>2009</v>
      </c>
      <c r="F32" s="224"/>
      <c r="G32" s="225"/>
      <c r="H32" s="226">
        <f ca="1">IF(AND(E32&gt;=2018,SUMIF('DADOS BASE'!$C$101:$D$104,D32,'DADOS BASE'!$H$101:$H$104)&gt;J32),
SUMIF('DADOS BASE'!$C$101:$D$104,D32,'DADOS BASE'!$H$101:$H$104),
J32)</f>
        <v>881205.9479938366</v>
      </c>
      <c r="I32" s="225"/>
      <c r="J32" s="226">
        <f t="shared" si="16"/>
        <v>881205.9479938366</v>
      </c>
      <c r="K32" s="226"/>
      <c r="L32" s="227">
        <v>894.86505113082001</v>
      </c>
      <c r="M32" s="226">
        <f t="shared" si="17"/>
        <v>6.9813224144983643E-4</v>
      </c>
      <c r="N32" s="226">
        <f>L32*'DADOS BASE'!$I$29</f>
        <v>881205.9479938366</v>
      </c>
      <c r="O32" s="228"/>
      <c r="P32" s="227">
        <v>0</v>
      </c>
      <c r="Q32" s="226">
        <f>P32*'DADOS BASE'!$I$33</f>
        <v>0</v>
      </c>
      <c r="R32" s="226"/>
      <c r="S32" s="227">
        <v>0</v>
      </c>
      <c r="T32" s="226">
        <f>S32*'DADOS BASE'!$I$37</f>
        <v>0</v>
      </c>
      <c r="U32" s="226"/>
      <c r="V32" s="226">
        <f t="shared" si="18"/>
        <v>0</v>
      </c>
      <c r="W32" s="228"/>
      <c r="X32" s="226"/>
      <c r="Y32" s="226"/>
      <c r="Z32" s="224"/>
      <c r="AA32" s="226"/>
      <c r="AB32" s="226"/>
      <c r="AC32" s="226"/>
      <c r="AD32" s="226"/>
      <c r="AE32" s="227">
        <v>806</v>
      </c>
      <c r="AF32" s="227">
        <v>591.53596156292997</v>
      </c>
      <c r="AG32" s="226" t="s">
        <v>155</v>
      </c>
      <c r="AH32" s="229">
        <v>0.64200000000000002</v>
      </c>
      <c r="AI32" s="225">
        <f t="shared" si="19"/>
        <v>379.76608732340105</v>
      </c>
      <c r="AJ32" s="226">
        <f t="shared" si="20"/>
        <v>-0.10834417248595819</v>
      </c>
      <c r="AK32" s="226"/>
      <c r="AL32" s="226">
        <f t="shared" si="21"/>
        <v>199.1432623546319</v>
      </c>
      <c r="AM32" s="228">
        <f t="shared" si="22"/>
        <v>117800.40118572602</v>
      </c>
      <c r="AN32" s="226"/>
      <c r="AO32" s="227">
        <v>1.8843843843843999</v>
      </c>
      <c r="AP32" s="225"/>
      <c r="AQ32" s="226">
        <f t="shared" si="23"/>
        <v>1114.6811287709959</v>
      </c>
      <c r="AR32" s="226">
        <f t="shared" si="24"/>
        <v>1.1860091744373793E-3</v>
      </c>
      <c r="AS32" s="228">
        <f>AR32*'DADOS BASE'!W$38</f>
        <v>355772.82658900839</v>
      </c>
      <c r="AT32" s="225"/>
      <c r="AU32" s="227">
        <v>0</v>
      </c>
      <c r="AV32" s="227">
        <v>0</v>
      </c>
      <c r="AW32" s="226">
        <f t="shared" si="25"/>
        <v>0</v>
      </c>
      <c r="AX32" s="226">
        <f>IF($AW$11&gt;0,(AW32/$AW$11)*'DADOS BASE'!W$40,0)</f>
        <v>0</v>
      </c>
      <c r="AY32" s="226">
        <f t="shared" si="26"/>
        <v>0</v>
      </c>
      <c r="AZ32" s="226">
        <f t="shared" si="27"/>
        <v>0</v>
      </c>
      <c r="BA32" s="226">
        <f>AZ32*'DADOS BASE'!W$41</f>
        <v>0</v>
      </c>
      <c r="BB32" s="225"/>
      <c r="BC32" s="227">
        <v>0</v>
      </c>
      <c r="BD32" s="226">
        <f>IF($BC$11&gt;0,(BC32/$BC$11)*'DADOS BASE'!W$39,0)</f>
        <v>0</v>
      </c>
      <c r="BE32" s="187"/>
    </row>
    <row r="33" spans="2:57" x14ac:dyDescent="0.3">
      <c r="B33" s="184" t="s">
        <v>164</v>
      </c>
      <c r="C33" s="184" t="s">
        <v>173</v>
      </c>
      <c r="D33" s="184" t="s">
        <v>94</v>
      </c>
      <c r="E33" s="184">
        <v>2015</v>
      </c>
      <c r="F33" s="185"/>
      <c r="H33" s="186">
        <f ca="1">IF(AND(E33&gt;=2018,SUMIF('DADOS BASE'!$C$101:$D$104,D33,'DADOS BASE'!$H$101:$H$104)&gt;J33),
SUMIF('DADOS BASE'!$C$101:$D$104,D33,'DADOS BASE'!$H$101:$H$104),
J33)</f>
        <v>2454732.9700967539</v>
      </c>
      <c r="J33" s="186">
        <f t="shared" si="16"/>
        <v>2454732.9700967539</v>
      </c>
      <c r="K33" s="186"/>
      <c r="L33" s="188">
        <v>2416.5150654595</v>
      </c>
      <c r="M33" s="186">
        <f t="shared" si="17"/>
        <v>1.8852530635928369E-3</v>
      </c>
      <c r="N33" s="186">
        <f>L33*'DADOS BASE'!$I$29</f>
        <v>2379629.6954593253</v>
      </c>
      <c r="O33" s="187"/>
      <c r="P33" s="188">
        <v>305.06964167238999</v>
      </c>
      <c r="Q33" s="186">
        <f>P33*'DADOS BASE'!$I$33</f>
        <v>75103.274637428651</v>
      </c>
      <c r="R33" s="186"/>
      <c r="S33" s="188">
        <v>0</v>
      </c>
      <c r="T33" s="186">
        <f>S33*'DADOS BASE'!$I$37</f>
        <v>0</v>
      </c>
      <c r="U33" s="186"/>
      <c r="V33" s="186">
        <f t="shared" si="18"/>
        <v>75103.274637428651</v>
      </c>
      <c r="W33" s="187"/>
      <c r="X33" s="186"/>
      <c r="Y33" s="186"/>
      <c r="Z33" s="185"/>
      <c r="AA33" s="186"/>
      <c r="AB33" s="186"/>
      <c r="AC33" s="186"/>
      <c r="AD33" s="186"/>
      <c r="AE33" s="188">
        <v>774</v>
      </c>
      <c r="AF33" s="188">
        <v>657.33943668639995</v>
      </c>
      <c r="AG33" s="186" t="s">
        <v>155</v>
      </c>
      <c r="AH33" s="189">
        <v>0.52700000000000002</v>
      </c>
      <c r="AI33" s="183">
        <f t="shared" si="19"/>
        <v>346.4178831337328</v>
      </c>
      <c r="AJ33" s="186">
        <f t="shared" si="20"/>
        <v>-0.26345548974013522</v>
      </c>
      <c r="AK33" s="186"/>
      <c r="AL33" s="186">
        <f t="shared" si="21"/>
        <v>227.01310144697618</v>
      </c>
      <c r="AM33" s="187">
        <f t="shared" si="22"/>
        <v>149224.66422558788</v>
      </c>
      <c r="AN33" s="186"/>
      <c r="AO33" s="188">
        <v>2.3430420711974</v>
      </c>
      <c r="AQ33" s="186">
        <f t="shared" si="23"/>
        <v>1540.1739552134347</v>
      </c>
      <c r="AR33" s="186">
        <f t="shared" si="24"/>
        <v>1.6387291342472477E-3</v>
      </c>
      <c r="AS33" s="187">
        <f>AR33*'DADOS BASE'!W$38</f>
        <v>491577.39136501501</v>
      </c>
      <c r="AU33" s="188">
        <v>0</v>
      </c>
      <c r="AV33" s="188">
        <v>46.75</v>
      </c>
      <c r="AW33" s="186">
        <f t="shared" si="25"/>
        <v>0</v>
      </c>
      <c r="AX33" s="186">
        <f>IF($AW$11&gt;0,(AW33/$AW$11)*'DADOS BASE'!W$40,0)</f>
        <v>0</v>
      </c>
      <c r="AY33" s="186">
        <f t="shared" si="26"/>
        <v>0</v>
      </c>
      <c r="AZ33" s="186">
        <f t="shared" si="27"/>
        <v>0</v>
      </c>
      <c r="BA33" s="186">
        <f>AZ33*'DADOS BASE'!W$41</f>
        <v>0</v>
      </c>
      <c r="BC33" s="188">
        <v>0</v>
      </c>
      <c r="BD33" s="186">
        <f>IF($BC$11&gt;0,(BC33/$BC$11)*'DADOS BASE'!W$39,0)</f>
        <v>0</v>
      </c>
      <c r="BE33" s="187"/>
    </row>
    <row r="34" spans="2:57" x14ac:dyDescent="0.3">
      <c r="B34" s="223" t="s">
        <v>164</v>
      </c>
      <c r="C34" s="223" t="s">
        <v>174</v>
      </c>
      <c r="D34" s="223" t="s">
        <v>94</v>
      </c>
      <c r="E34" s="223">
        <v>2009</v>
      </c>
      <c r="F34" s="224"/>
      <c r="G34" s="225"/>
      <c r="H34" s="226">
        <f ca="1">IF(AND(E34&gt;=2018,SUMIF('DADOS BASE'!$C$101:$D$104,D34,'DADOS BASE'!$H$101:$H$104)&gt;J34),
SUMIF('DADOS BASE'!$C$101:$D$104,D34,'DADOS BASE'!$H$101:$H$104),
J34)</f>
        <v>3437020.5521632666</v>
      </c>
      <c r="I34" s="225"/>
      <c r="J34" s="226">
        <f t="shared" si="16"/>
        <v>3437020.5521632666</v>
      </c>
      <c r="K34" s="226"/>
      <c r="L34" s="227">
        <v>3416.2970029035</v>
      </c>
      <c r="M34" s="226">
        <f t="shared" si="17"/>
        <v>2.6652365974975515E-3</v>
      </c>
      <c r="N34" s="226">
        <f>L34*'DADOS BASE'!$I$29</f>
        <v>3364151.0921315253</v>
      </c>
      <c r="O34" s="228"/>
      <c r="P34" s="227">
        <v>264.18604651163002</v>
      </c>
      <c r="Q34" s="226">
        <f>P34*'DADOS BASE'!$I$33</f>
        <v>65038.386309991067</v>
      </c>
      <c r="R34" s="226"/>
      <c r="S34" s="227">
        <v>9.9405737704918007</v>
      </c>
      <c r="T34" s="226">
        <f>S34*'DADOS BASE'!$I$37</f>
        <v>7831.07372175009</v>
      </c>
      <c r="U34" s="226"/>
      <c r="V34" s="226">
        <f t="shared" si="18"/>
        <v>72869.460031741153</v>
      </c>
      <c r="W34" s="228"/>
      <c r="X34" s="226"/>
      <c r="Y34" s="226"/>
      <c r="Z34" s="224"/>
      <c r="AA34" s="226"/>
      <c r="AB34" s="226"/>
      <c r="AC34" s="226"/>
      <c r="AD34" s="226"/>
      <c r="AE34" s="227">
        <v>1943</v>
      </c>
      <c r="AF34" s="227">
        <v>1490.9596375676001</v>
      </c>
      <c r="AG34" s="226" t="s">
        <v>155</v>
      </c>
      <c r="AH34" s="229">
        <v>0.63800000000000001</v>
      </c>
      <c r="AI34" s="225">
        <f t="shared" si="19"/>
        <v>951.2322487681289</v>
      </c>
      <c r="AJ34" s="226">
        <f t="shared" si="20"/>
        <v>-0.1137393487382774</v>
      </c>
      <c r="AK34" s="226"/>
      <c r="AL34" s="226">
        <f t="shared" si="21"/>
        <v>200.11264806219171</v>
      </c>
      <c r="AM34" s="228">
        <f t="shared" si="22"/>
        <v>298359.88122749806</v>
      </c>
      <c r="AN34" s="226"/>
      <c r="AO34" s="227">
        <v>2.2448918269231002</v>
      </c>
      <c r="AP34" s="225"/>
      <c r="AQ34" s="226">
        <f t="shared" si="23"/>
        <v>3347.0431046477333</v>
      </c>
      <c r="AR34" s="226">
        <f t="shared" si="24"/>
        <v>3.5612191925473201E-3</v>
      </c>
      <c r="AS34" s="228">
        <f>AR34*'DADOS BASE'!W$38</f>
        <v>1068275.9000044165</v>
      </c>
      <c r="AT34" s="225"/>
      <c r="AU34" s="227">
        <v>6.6270491803278997</v>
      </c>
      <c r="AV34" s="227">
        <v>36.75</v>
      </c>
      <c r="AW34" s="226">
        <f t="shared" si="25"/>
        <v>1.6567622950819749</v>
      </c>
      <c r="AX34" s="226">
        <f>IF($AW$11&gt;0,(AW34/$AW$11)*'DADOS BASE'!W$40,0)</f>
        <v>297.68104220618505</v>
      </c>
      <c r="AY34" s="226">
        <f t="shared" si="26"/>
        <v>3.7192521353838832</v>
      </c>
      <c r="AZ34" s="226">
        <f t="shared" si="27"/>
        <v>1.9451806002202635E-4</v>
      </c>
      <c r="BA34" s="226">
        <f>AZ34*'DADOS BASE'!W$41</f>
        <v>1437.070983072749</v>
      </c>
      <c r="BB34" s="225"/>
      <c r="BC34" s="227">
        <v>0</v>
      </c>
      <c r="BD34" s="226">
        <f>IF($BC$11&gt;0,(BC34/$BC$11)*'DADOS BASE'!W$39,0)</f>
        <v>0</v>
      </c>
      <c r="BE34" s="187"/>
    </row>
    <row r="35" spans="2:57" x14ac:dyDescent="0.3">
      <c r="B35" s="184" t="s">
        <v>164</v>
      </c>
      <c r="C35" s="184" t="s">
        <v>175</v>
      </c>
      <c r="D35" s="184" t="s">
        <v>94</v>
      </c>
      <c r="E35" s="184">
        <v>2010</v>
      </c>
      <c r="F35" s="185"/>
      <c r="H35" s="186">
        <f ca="1">IF(AND(E35&gt;=2018,SUMIF('DADOS BASE'!$C$101:$D$104,D35,'DADOS BASE'!$H$101:$H$104)&gt;J35),
SUMIF('DADOS BASE'!$C$101:$D$104,D35,'DADOS BASE'!$H$101:$H$104),
J35)</f>
        <v>1578995.3549430214</v>
      </c>
      <c r="J35" s="186">
        <f t="shared" si="16"/>
        <v>1578995.3549430214</v>
      </c>
      <c r="K35" s="186"/>
      <c r="L35" s="188">
        <v>1524.7090277768</v>
      </c>
      <c r="M35" s="186">
        <f t="shared" si="17"/>
        <v>1.1895073226689317E-3</v>
      </c>
      <c r="N35" s="186">
        <f>L35*'DADOS BASE'!$I$29</f>
        <v>1501436.068532302</v>
      </c>
      <c r="O35" s="187"/>
      <c r="P35" s="188">
        <v>283.51634859052001</v>
      </c>
      <c r="Q35" s="186">
        <f>P35*'DADOS BASE'!$I$33</f>
        <v>69797.198028839077</v>
      </c>
      <c r="R35" s="186"/>
      <c r="S35" s="188">
        <v>9.8530054644808995</v>
      </c>
      <c r="T35" s="186">
        <f>S35*'DADOS BASE'!$I$37</f>
        <v>7762.0883818800939</v>
      </c>
      <c r="U35" s="186"/>
      <c r="V35" s="186">
        <f t="shared" si="18"/>
        <v>77559.286410719171</v>
      </c>
      <c r="W35" s="187"/>
      <c r="X35" s="186"/>
      <c r="Y35" s="186"/>
      <c r="Z35" s="185"/>
      <c r="AA35" s="186"/>
      <c r="AB35" s="186"/>
      <c r="AC35" s="186"/>
      <c r="AD35" s="186"/>
      <c r="AE35" s="188">
        <v>874</v>
      </c>
      <c r="AF35" s="188">
        <v>704.39368912149996</v>
      </c>
      <c r="AG35" s="186" t="s">
        <v>155</v>
      </c>
      <c r="AH35" s="189">
        <v>0.63</v>
      </c>
      <c r="AI35" s="183">
        <f t="shared" si="19"/>
        <v>443.76802414654497</v>
      </c>
      <c r="AJ35" s="186">
        <f t="shared" si="20"/>
        <v>-0.12452970124291581</v>
      </c>
      <c r="AK35" s="186"/>
      <c r="AL35" s="186">
        <f t="shared" si="21"/>
        <v>202.0514194773113</v>
      </c>
      <c r="AM35" s="187">
        <f t="shared" si="22"/>
        <v>142323.74475785901</v>
      </c>
      <c r="AN35" s="186"/>
      <c r="AO35" s="188">
        <v>2.3623853211008998</v>
      </c>
      <c r="AQ35" s="186">
        <f t="shared" si="23"/>
        <v>1664.0493114567421</v>
      </c>
      <c r="AR35" s="186">
        <f t="shared" si="24"/>
        <v>1.7705312301105254E-3</v>
      </c>
      <c r="AS35" s="187">
        <f>AR35*'DADOS BASE'!W$38</f>
        <v>531114.69445365109</v>
      </c>
      <c r="AU35" s="188">
        <v>9.8530054644808995</v>
      </c>
      <c r="AV35" s="188">
        <v>52.5</v>
      </c>
      <c r="AW35" s="186">
        <f t="shared" si="25"/>
        <v>2.4632513661202249</v>
      </c>
      <c r="AX35" s="186">
        <f>IF($AW$11&gt;0,(AW35/$AW$11)*'DADOS BASE'!W$40,0)</f>
        <v>442.58807437804262</v>
      </c>
      <c r="AY35" s="186">
        <f t="shared" si="26"/>
        <v>5.8191488695041578</v>
      </c>
      <c r="AZ35" s="186">
        <f t="shared" si="27"/>
        <v>3.0434332168730049E-4</v>
      </c>
      <c r="BA35" s="186">
        <f>AZ35*'DADOS BASE'!W$41</f>
        <v>2248.443956511132</v>
      </c>
      <c r="BC35" s="188">
        <v>0</v>
      </c>
      <c r="BD35" s="186">
        <f>IF($BC$11&gt;0,(BC35/$BC$11)*'DADOS BASE'!W$39,0)</f>
        <v>0</v>
      </c>
      <c r="BE35" s="187"/>
    </row>
    <row r="36" spans="2:57" x14ac:dyDescent="0.3">
      <c r="B36" s="223" t="s">
        <v>164</v>
      </c>
      <c r="C36" s="223" t="s">
        <v>176</v>
      </c>
      <c r="D36" s="223" t="s">
        <v>94</v>
      </c>
      <c r="E36" s="223">
        <v>2009</v>
      </c>
      <c r="F36" s="224"/>
      <c r="G36" s="225"/>
      <c r="H36" s="226">
        <f ca="1">IF(AND(E36&gt;=2018,SUMIF('DADOS BASE'!$C$101:$D$104,D36,'DADOS BASE'!$H$101:$H$104)&gt;J36),
SUMIF('DADOS BASE'!$C$101:$D$104,D36,'DADOS BASE'!$H$101:$H$104),
J36)</f>
        <v>2867328.2082874486</v>
      </c>
      <c r="I36" s="225"/>
      <c r="J36" s="226">
        <f t="shared" si="16"/>
        <v>2867328.2082874486</v>
      </c>
      <c r="K36" s="226"/>
      <c r="L36" s="227">
        <v>2863.5093588795999</v>
      </c>
      <c r="M36" s="226">
        <f t="shared" si="17"/>
        <v>2.233977295907325E-3</v>
      </c>
      <c r="N36" s="226">
        <f>L36*'DADOS BASE'!$I$29</f>
        <v>2819801.1264291005</v>
      </c>
      <c r="O36" s="228"/>
      <c r="P36" s="227">
        <v>119.61509516405</v>
      </c>
      <c r="Q36" s="226">
        <f>P36*'DADOS BASE'!$I$33</f>
        <v>29447.326497780628</v>
      </c>
      <c r="R36" s="226"/>
      <c r="S36" s="227">
        <v>22.95</v>
      </c>
      <c r="T36" s="226">
        <f>S36*'DADOS BASE'!$I$37</f>
        <v>18079.755360567371</v>
      </c>
      <c r="U36" s="226"/>
      <c r="V36" s="226">
        <f t="shared" si="18"/>
        <v>47527.081858348</v>
      </c>
      <c r="W36" s="228"/>
      <c r="X36" s="226"/>
      <c r="Y36" s="226"/>
      <c r="Z36" s="224"/>
      <c r="AA36" s="226"/>
      <c r="AB36" s="226"/>
      <c r="AC36" s="226"/>
      <c r="AD36" s="226"/>
      <c r="AE36" s="227">
        <v>963</v>
      </c>
      <c r="AF36" s="227">
        <v>825.75562459667003</v>
      </c>
      <c r="AG36" s="226" t="s">
        <v>155</v>
      </c>
      <c r="AH36" s="229">
        <v>0.58899999999999997</v>
      </c>
      <c r="AI36" s="225">
        <f t="shared" si="19"/>
        <v>486.37006288743862</v>
      </c>
      <c r="AJ36" s="226">
        <f t="shared" si="20"/>
        <v>-0.17983025782918766</v>
      </c>
      <c r="AK36" s="226"/>
      <c r="AL36" s="226">
        <f t="shared" si="21"/>
        <v>211.98762297979926</v>
      </c>
      <c r="AM36" s="228">
        <f t="shared" si="22"/>
        <v>175049.97202044755</v>
      </c>
      <c r="AN36" s="226"/>
      <c r="AO36" s="227">
        <v>2.1960183767228001</v>
      </c>
      <c r="AP36" s="225"/>
      <c r="AQ36" s="226">
        <f t="shared" si="23"/>
        <v>1813.3745262965012</v>
      </c>
      <c r="AR36" s="226">
        <f t="shared" si="24"/>
        <v>1.9294117118946314E-3</v>
      </c>
      <c r="AS36" s="228">
        <f>AR36*'DADOS BASE'!W$38</f>
        <v>578774.83006851212</v>
      </c>
      <c r="AT36" s="225"/>
      <c r="AU36" s="227">
        <v>22.95</v>
      </c>
      <c r="AV36" s="227">
        <v>59.75</v>
      </c>
      <c r="AW36" s="226">
        <f t="shared" si="25"/>
        <v>5.7374999999999998</v>
      </c>
      <c r="AX36" s="226">
        <f>IF($AW$11&gt;0,(AW36/$AW$11)*'DADOS BASE'!W$40,0)</f>
        <v>1030.8931973693179</v>
      </c>
      <c r="AY36" s="226">
        <f t="shared" si="26"/>
        <v>12.599655436447065</v>
      </c>
      <c r="AZ36" s="226">
        <f t="shared" si="27"/>
        <v>6.5896595423765077E-4</v>
      </c>
      <c r="BA36" s="226">
        <f>AZ36*'DADOS BASE'!W$41</f>
        <v>4868.3441093363826</v>
      </c>
      <c r="BB36" s="225"/>
      <c r="BC36" s="227">
        <v>0</v>
      </c>
      <c r="BD36" s="226">
        <f>IF($BC$11&gt;0,(BC36/$BC$11)*'DADOS BASE'!W$39,0)</f>
        <v>0</v>
      </c>
      <c r="BE36" s="187"/>
    </row>
    <row r="37" spans="2:57" x14ac:dyDescent="0.3">
      <c r="B37" s="184" t="s">
        <v>164</v>
      </c>
      <c r="C37" s="184" t="s">
        <v>177</v>
      </c>
      <c r="D37" s="184" t="s">
        <v>94</v>
      </c>
      <c r="E37" s="184">
        <v>2014</v>
      </c>
      <c r="F37" s="185"/>
      <c r="H37" s="186">
        <f ca="1">IF(AND(E37&gt;=2018,SUMIF('DADOS BASE'!$C$101:$D$104,D37,'DADOS BASE'!$H$101:$H$104)&gt;J37),
SUMIF('DADOS BASE'!$C$101:$D$104,D37,'DADOS BASE'!$H$101:$H$104),
J37)</f>
        <v>149421.01191787439</v>
      </c>
      <c r="J37" s="186">
        <f t="shared" si="16"/>
        <v>149421.01191787439</v>
      </c>
      <c r="K37" s="186"/>
      <c r="L37" s="188">
        <v>151.73710728385001</v>
      </c>
      <c r="M37" s="186">
        <f t="shared" si="17"/>
        <v>1.1837825902947491E-4</v>
      </c>
      <c r="N37" s="186">
        <f>L37*'DADOS BASE'!$I$29</f>
        <v>149421.01191787439</v>
      </c>
      <c r="O37" s="187"/>
      <c r="P37" s="188">
        <v>0</v>
      </c>
      <c r="Q37" s="186">
        <f>P37*'DADOS BASE'!$I$33</f>
        <v>0</v>
      </c>
      <c r="R37" s="186"/>
      <c r="S37" s="188">
        <v>0</v>
      </c>
      <c r="T37" s="186">
        <f>S37*'DADOS BASE'!$I$37</f>
        <v>0</v>
      </c>
      <c r="U37" s="186"/>
      <c r="V37" s="186">
        <f t="shared" si="18"/>
        <v>0</v>
      </c>
      <c r="W37" s="187"/>
      <c r="X37" s="186"/>
      <c r="Y37" s="186"/>
      <c r="Z37" s="185"/>
      <c r="AA37" s="186"/>
      <c r="AB37" s="186"/>
      <c r="AC37" s="186"/>
      <c r="AD37" s="186"/>
      <c r="AE37" s="188">
        <v>331</v>
      </c>
      <c r="AF37" s="188">
        <v>101.15807152257</v>
      </c>
      <c r="AG37" s="186" t="s">
        <v>155</v>
      </c>
      <c r="AH37" s="189">
        <v>0.64300000000000002</v>
      </c>
      <c r="AI37" s="183">
        <f t="shared" si="19"/>
        <v>65.044639989012509</v>
      </c>
      <c r="AJ37" s="186">
        <f t="shared" si="20"/>
        <v>-0.10699537842287839</v>
      </c>
      <c r="AK37" s="186"/>
      <c r="AL37" s="186">
        <f t="shared" si="21"/>
        <v>198.90091592774195</v>
      </c>
      <c r="AM37" s="187">
        <f t="shared" si="22"/>
        <v>20120.433079323204</v>
      </c>
      <c r="AN37" s="186"/>
      <c r="AO37" s="188">
        <v>2.2472324723247001</v>
      </c>
      <c r="AQ37" s="186">
        <f t="shared" si="23"/>
        <v>227.32570316326382</v>
      </c>
      <c r="AR37" s="186">
        <f t="shared" si="24"/>
        <v>2.4187219338172631E-4</v>
      </c>
      <c r="AS37" s="187">
        <f>AR37*'DADOS BASE'!W$38</f>
        <v>72555.555022178713</v>
      </c>
      <c r="AU37" s="188">
        <v>0</v>
      </c>
      <c r="AV37" s="188">
        <v>0</v>
      </c>
      <c r="AW37" s="186">
        <f t="shared" si="25"/>
        <v>0</v>
      </c>
      <c r="AX37" s="186">
        <f>IF($AW$11&gt;0,(AW37/$AW$11)*'DADOS BASE'!W$40,0)</f>
        <v>0</v>
      </c>
      <c r="AY37" s="186">
        <f t="shared" si="26"/>
        <v>0</v>
      </c>
      <c r="AZ37" s="186">
        <f t="shared" si="27"/>
        <v>0</v>
      </c>
      <c r="BA37" s="186">
        <f>AZ37*'DADOS BASE'!W$41</f>
        <v>0</v>
      </c>
      <c r="BC37" s="188">
        <v>0</v>
      </c>
      <c r="BD37" s="186">
        <f>IF($BC$11&gt;0,(BC37/$BC$11)*'DADOS BASE'!W$39,0)</f>
        <v>0</v>
      </c>
      <c r="BE37" s="187"/>
    </row>
    <row r="38" spans="2:57" x14ac:dyDescent="0.3">
      <c r="B38" s="223" t="s">
        <v>164</v>
      </c>
      <c r="C38" s="223" t="s">
        <v>178</v>
      </c>
      <c r="D38" s="223" t="s">
        <v>92</v>
      </c>
      <c r="E38" s="223">
        <v>2013</v>
      </c>
      <c r="F38" s="224"/>
      <c r="G38" s="225"/>
      <c r="H38" s="226">
        <f ca="1">IF(AND(E38&gt;=2018,SUMIF('DADOS BASE'!$C$101:$D$104,D38,'DADOS BASE'!$H$101:$H$104)&gt;J38),
SUMIF('DADOS BASE'!$C$101:$D$104,D38,'DADOS BASE'!$H$101:$H$104),
J38)</f>
        <v>1754419.376763023</v>
      </c>
      <c r="I38" s="225"/>
      <c r="J38" s="226">
        <f t="shared" si="16"/>
        <v>1754419.376763023</v>
      </c>
      <c r="K38" s="226"/>
      <c r="L38" s="227">
        <v>1767.0344497292999</v>
      </c>
      <c r="M38" s="226">
        <f t="shared" si="17"/>
        <v>1.3785583865966082E-3</v>
      </c>
      <c r="N38" s="226">
        <f>L38*'DADOS BASE'!$I$29</f>
        <v>1740062.6669281332</v>
      </c>
      <c r="O38" s="228"/>
      <c r="P38" s="227">
        <v>24.992391965915999</v>
      </c>
      <c r="Q38" s="226">
        <f>P38*'DADOS BASE'!$I$33</f>
        <v>6152.7278406749829</v>
      </c>
      <c r="R38" s="226"/>
      <c r="S38" s="227">
        <v>10.41393442623</v>
      </c>
      <c r="T38" s="226">
        <f>S38*'DADOS BASE'!$I$37</f>
        <v>8203.9819942147697</v>
      </c>
      <c r="U38" s="226"/>
      <c r="V38" s="226">
        <f t="shared" si="18"/>
        <v>14356.709834889753</v>
      </c>
      <c r="W38" s="228"/>
      <c r="X38" s="226"/>
      <c r="Y38" s="226"/>
      <c r="Z38" s="224"/>
      <c r="AA38" s="226"/>
      <c r="AB38" s="226"/>
      <c r="AC38" s="226"/>
      <c r="AD38" s="226"/>
      <c r="AE38" s="227">
        <v>865</v>
      </c>
      <c r="AF38" s="227">
        <v>635.73115950852002</v>
      </c>
      <c r="AG38" s="226" t="s">
        <v>155</v>
      </c>
      <c r="AH38" s="229">
        <v>0.59099999999999997</v>
      </c>
      <c r="AI38" s="225">
        <f t="shared" si="19"/>
        <v>375.71711526953533</v>
      </c>
      <c r="AJ38" s="226">
        <f t="shared" si="20"/>
        <v>-0.17713266970302807</v>
      </c>
      <c r="AK38" s="226"/>
      <c r="AL38" s="226">
        <f t="shared" si="21"/>
        <v>211.50293012601938</v>
      </c>
      <c r="AM38" s="228">
        <f t="shared" si="22"/>
        <v>134459.0030084638</v>
      </c>
      <c r="AN38" s="226"/>
      <c r="AO38" s="227">
        <v>2.3196378830083999</v>
      </c>
      <c r="AP38" s="225"/>
      <c r="AQ38" s="226">
        <f t="shared" si="23"/>
        <v>1474.6660810048188</v>
      </c>
      <c r="AR38" s="226">
        <f t="shared" si="24"/>
        <v>1.5690294346614392E-3</v>
      </c>
      <c r="AS38" s="228">
        <f>AR38*'DADOS BASE'!W$38</f>
        <v>470669.24017317354</v>
      </c>
      <c r="AT38" s="225"/>
      <c r="AU38" s="227">
        <v>6.9426229508197004</v>
      </c>
      <c r="AV38" s="227">
        <v>13</v>
      </c>
      <c r="AW38" s="226">
        <f t="shared" si="25"/>
        <v>1.7356557377049251</v>
      </c>
      <c r="AX38" s="226">
        <f>IF($AW$11&gt;0,(AW38/$AW$11)*'DADOS BASE'!W$40,0)</f>
        <v>311.85632993028895</v>
      </c>
      <c r="AY38" s="226">
        <f t="shared" si="26"/>
        <v>4.0260928010412353</v>
      </c>
      <c r="AZ38" s="226">
        <f t="shared" si="27"/>
        <v>2.1056592363732137E-4</v>
      </c>
      <c r="BA38" s="226">
        <f>AZ38*'DADOS BASE'!W$41</f>
        <v>1555.6302527839416</v>
      </c>
      <c r="BB38" s="225"/>
      <c r="BC38" s="227">
        <v>0</v>
      </c>
      <c r="BD38" s="226">
        <f>IF($BC$11&gt;0,(BC38/$BC$11)*'DADOS BASE'!W$39,0)</f>
        <v>0</v>
      </c>
      <c r="BE38" s="187"/>
    </row>
    <row r="39" spans="2:57" x14ac:dyDescent="0.3">
      <c r="B39" s="184" t="s">
        <v>164</v>
      </c>
      <c r="C39" s="184" t="s">
        <v>179</v>
      </c>
      <c r="D39" s="184" t="s">
        <v>94</v>
      </c>
      <c r="E39" s="184">
        <v>2013</v>
      </c>
      <c r="F39" s="185"/>
      <c r="H39" s="186">
        <f ca="1">IF(AND(E39&gt;=2018,SUMIF('DADOS BASE'!$C$101:$D$104,D39,'DADOS BASE'!$H$101:$H$104)&gt;J39),
SUMIF('DADOS BASE'!$C$101:$D$104,D39,'DADOS BASE'!$H$101:$H$104),
J39)</f>
        <v>560953.94085739646</v>
      </c>
      <c r="J39" s="186">
        <f t="shared" si="16"/>
        <v>560953.94085739646</v>
      </c>
      <c r="K39" s="186"/>
      <c r="L39" s="188">
        <v>569.64898853689999</v>
      </c>
      <c r="M39" s="186">
        <f t="shared" si="17"/>
        <v>4.4441374116057638E-4</v>
      </c>
      <c r="N39" s="186">
        <f>L39*'DADOS BASE'!$I$29</f>
        <v>560953.94085739646</v>
      </c>
      <c r="O39" s="187"/>
      <c r="P39" s="188">
        <v>0</v>
      </c>
      <c r="Q39" s="186">
        <f>P39*'DADOS BASE'!$I$33</f>
        <v>0</v>
      </c>
      <c r="R39" s="186"/>
      <c r="S39" s="188">
        <v>0</v>
      </c>
      <c r="T39" s="186">
        <f>S39*'DADOS BASE'!$I$37</f>
        <v>0</v>
      </c>
      <c r="U39" s="186"/>
      <c r="V39" s="186">
        <f t="shared" si="18"/>
        <v>0</v>
      </c>
      <c r="W39" s="187"/>
      <c r="X39" s="186"/>
      <c r="Y39" s="186"/>
      <c r="Z39" s="185"/>
      <c r="AA39" s="186"/>
      <c r="AB39" s="186"/>
      <c r="AC39" s="186"/>
      <c r="AD39" s="186"/>
      <c r="AE39" s="188">
        <v>519</v>
      </c>
      <c r="AF39" s="188">
        <v>261.09549869942998</v>
      </c>
      <c r="AG39" s="186" t="s">
        <v>155</v>
      </c>
      <c r="AH39" s="189">
        <v>0.623</v>
      </c>
      <c r="AI39" s="183">
        <f t="shared" si="19"/>
        <v>162.66249568974487</v>
      </c>
      <c r="AJ39" s="186">
        <f t="shared" si="20"/>
        <v>-0.13397125968447443</v>
      </c>
      <c r="AK39" s="186"/>
      <c r="AL39" s="186">
        <f t="shared" si="21"/>
        <v>203.74784446554096</v>
      </c>
      <c r="AM39" s="187">
        <f t="shared" si="22"/>
        <v>53197.645059664312</v>
      </c>
      <c r="AN39" s="186"/>
      <c r="AO39" s="188">
        <v>2.4105882352940999</v>
      </c>
      <c r="AQ39" s="186">
        <f t="shared" si="23"/>
        <v>629.39373745309183</v>
      </c>
      <c r="AR39" s="186">
        <f t="shared" si="24"/>
        <v>6.6966841699008873E-4</v>
      </c>
      <c r="AS39" s="187">
        <f>AR39*'DADOS BASE'!W$38</f>
        <v>200883.62782098367</v>
      </c>
      <c r="AU39" s="188">
        <v>0</v>
      </c>
      <c r="AV39" s="188">
        <v>0</v>
      </c>
      <c r="AW39" s="186">
        <f t="shared" si="25"/>
        <v>0</v>
      </c>
      <c r="AX39" s="186">
        <f>IF($AW$11&gt;0,(AW39/$AW$11)*'DADOS BASE'!W$40,0)</f>
        <v>0</v>
      </c>
      <c r="AY39" s="186">
        <f t="shared" si="26"/>
        <v>0</v>
      </c>
      <c r="AZ39" s="186">
        <f t="shared" si="27"/>
        <v>0</v>
      </c>
      <c r="BA39" s="186">
        <f>AZ39*'DADOS BASE'!W$41</f>
        <v>0</v>
      </c>
      <c r="BC39" s="188">
        <v>0</v>
      </c>
      <c r="BD39" s="186">
        <f>IF($BC$11&gt;0,(BC39/$BC$11)*'DADOS BASE'!W$39,0)</f>
        <v>0</v>
      </c>
      <c r="BE39" s="187"/>
    </row>
    <row r="40" spans="2:57" x14ac:dyDescent="0.3">
      <c r="B40" s="223" t="s">
        <v>164</v>
      </c>
      <c r="C40" s="223" t="s">
        <v>180</v>
      </c>
      <c r="D40" s="223" t="s">
        <v>92</v>
      </c>
      <c r="E40" s="223">
        <v>2009</v>
      </c>
      <c r="F40" s="224"/>
      <c r="G40" s="225"/>
      <c r="H40" s="226">
        <f ca="1">IF(AND(E40&gt;=2018,SUMIF('DADOS BASE'!$C$101:$D$104,D40,'DADOS BASE'!$H$101:$H$104)&gt;J40),
SUMIF('DADOS BASE'!$C$101:$D$104,D40,'DADOS BASE'!$H$101:$H$104),
J40)</f>
        <v>3343720.619672324</v>
      </c>
      <c r="I40" s="225"/>
      <c r="J40" s="226">
        <f t="shared" si="16"/>
        <v>3343720.619672324</v>
      </c>
      <c r="K40" s="226"/>
      <c r="L40" s="227">
        <v>3395.5498485936</v>
      </c>
      <c r="M40" s="226">
        <f t="shared" si="17"/>
        <v>2.6490506292068325E-3</v>
      </c>
      <c r="N40" s="226">
        <f>L40*'DADOS BASE'!$I$29</f>
        <v>3343720.619672324</v>
      </c>
      <c r="O40" s="228"/>
      <c r="P40" s="227">
        <v>0</v>
      </c>
      <c r="Q40" s="226">
        <f>P40*'DADOS BASE'!$I$33</f>
        <v>0</v>
      </c>
      <c r="R40" s="226"/>
      <c r="S40" s="227">
        <v>0</v>
      </c>
      <c r="T40" s="226">
        <f>S40*'DADOS BASE'!$I$37</f>
        <v>0</v>
      </c>
      <c r="U40" s="226"/>
      <c r="V40" s="226">
        <f t="shared" si="18"/>
        <v>0</v>
      </c>
      <c r="W40" s="228"/>
      <c r="X40" s="226"/>
      <c r="Y40" s="226"/>
      <c r="Z40" s="224"/>
      <c r="AA40" s="226"/>
      <c r="AB40" s="226"/>
      <c r="AC40" s="226"/>
      <c r="AD40" s="226"/>
      <c r="AE40" s="227">
        <v>1445</v>
      </c>
      <c r="AF40" s="227">
        <v>954.38615253377998</v>
      </c>
      <c r="AG40" s="226" t="s">
        <v>155</v>
      </c>
      <c r="AH40" s="229">
        <v>0.66</v>
      </c>
      <c r="AI40" s="225">
        <f t="shared" si="19"/>
        <v>629.89486067229484</v>
      </c>
      <c r="AJ40" s="226">
        <f t="shared" si="20"/>
        <v>-8.4065879350521774E-2</v>
      </c>
      <c r="AK40" s="226"/>
      <c r="AL40" s="226">
        <f t="shared" si="21"/>
        <v>194.78102667061279</v>
      </c>
      <c r="AM40" s="228">
        <f t="shared" si="22"/>
        <v>185896.31463074574</v>
      </c>
      <c r="AN40" s="226"/>
      <c r="AO40" s="227">
        <v>1.7394451145959</v>
      </c>
      <c r="AP40" s="225"/>
      <c r="AQ40" s="226">
        <f t="shared" si="23"/>
        <v>1660.1023304628611</v>
      </c>
      <c r="AR40" s="226">
        <f t="shared" si="24"/>
        <v>1.7663316832183713E-3</v>
      </c>
      <c r="AS40" s="228">
        <f>AR40*'DADOS BASE'!W$38</f>
        <v>529854.93635024223</v>
      </c>
      <c r="AT40" s="225"/>
      <c r="AU40" s="227">
        <v>0</v>
      </c>
      <c r="AV40" s="227">
        <v>0</v>
      </c>
      <c r="AW40" s="226">
        <f t="shared" si="25"/>
        <v>0</v>
      </c>
      <c r="AX40" s="226">
        <f>IF($AW$11&gt;0,(AW40/$AW$11)*'DADOS BASE'!W$40,0)</f>
        <v>0</v>
      </c>
      <c r="AY40" s="226">
        <f t="shared" si="26"/>
        <v>0</v>
      </c>
      <c r="AZ40" s="226">
        <f t="shared" si="27"/>
        <v>0</v>
      </c>
      <c r="BA40" s="226">
        <f>AZ40*'DADOS BASE'!W$41</f>
        <v>0</v>
      </c>
      <c r="BB40" s="225"/>
      <c r="BC40" s="227">
        <v>60.5</v>
      </c>
      <c r="BD40" s="226">
        <f>IF($BC$11&gt;0,(BC40/$BC$11)*'DADOS BASE'!W$39,0)</f>
        <v>326893.84275709628</v>
      </c>
      <c r="BE40" s="187"/>
    </row>
    <row r="41" spans="2:57" x14ac:dyDescent="0.3">
      <c r="B41" s="184" t="s">
        <v>164</v>
      </c>
      <c r="C41" s="184" t="s">
        <v>181</v>
      </c>
      <c r="D41" s="184" t="s">
        <v>94</v>
      </c>
      <c r="E41" s="184">
        <v>2014</v>
      </c>
      <c r="F41" s="185"/>
      <c r="H41" s="186">
        <f ca="1">IF(AND(E41&gt;=2018,SUMIF('DADOS BASE'!$C$101:$D$104,D41,'DADOS BASE'!$H$101:$H$104)&gt;J41),
SUMIF('DADOS BASE'!$C$101:$D$104,D41,'DADOS BASE'!$H$101:$H$104),
J41)</f>
        <v>558350.88657094701</v>
      </c>
      <c r="J41" s="186">
        <f t="shared" si="16"/>
        <v>558350.88657094701</v>
      </c>
      <c r="K41" s="186"/>
      <c r="L41" s="188">
        <v>526.70396148841996</v>
      </c>
      <c r="M41" s="186">
        <f t="shared" si="17"/>
        <v>4.1091002129287952E-4</v>
      </c>
      <c r="N41" s="186">
        <f>L41*'DADOS BASE'!$I$29</f>
        <v>518664.42108672834</v>
      </c>
      <c r="O41" s="187"/>
      <c r="P41" s="188">
        <v>130.35567715458001</v>
      </c>
      <c r="Q41" s="186">
        <f>P41*'DADOS BASE'!$I$33</f>
        <v>32091.48628561966</v>
      </c>
      <c r="R41" s="186"/>
      <c r="S41" s="188">
        <v>9.6408811475410001</v>
      </c>
      <c r="T41" s="186">
        <f>S41*'DADOS BASE'!$I$37</f>
        <v>7594.9791985990123</v>
      </c>
      <c r="U41" s="186"/>
      <c r="V41" s="186">
        <f t="shared" si="18"/>
        <v>39686.465484218672</v>
      </c>
      <c r="W41" s="187"/>
      <c r="X41" s="186"/>
      <c r="Y41" s="186"/>
      <c r="Z41" s="185"/>
      <c r="AA41" s="186"/>
      <c r="AB41" s="186"/>
      <c r="AC41" s="186"/>
      <c r="AD41" s="186"/>
      <c r="AE41" s="188">
        <v>623</v>
      </c>
      <c r="AF41" s="188">
        <v>382.16295650602001</v>
      </c>
      <c r="AG41" s="186" t="s">
        <v>155</v>
      </c>
      <c r="AH41" s="189">
        <v>0.58599999999999997</v>
      </c>
      <c r="AI41" s="183">
        <f t="shared" si="19"/>
        <v>223.9474925125277</v>
      </c>
      <c r="AJ41" s="186">
        <f t="shared" si="20"/>
        <v>-0.18387664001842707</v>
      </c>
      <c r="AK41" s="186"/>
      <c r="AL41" s="186">
        <f t="shared" si="21"/>
        <v>212.71466226046911</v>
      </c>
      <c r="AM41" s="187">
        <f t="shared" si="22"/>
        <v>81291.6642216404</v>
      </c>
      <c r="AN41" s="186"/>
      <c r="AO41" s="188">
        <v>2.313981042654</v>
      </c>
      <c r="AQ41" s="186">
        <f t="shared" si="23"/>
        <v>884.31783655953541</v>
      </c>
      <c r="AR41" s="186">
        <f t="shared" si="24"/>
        <v>9.4090501777364802E-4</v>
      </c>
      <c r="AS41" s="187">
        <f>AR41*'DADOS BASE'!W$38</f>
        <v>282247.7641321033</v>
      </c>
      <c r="AU41" s="188">
        <v>6.9585040983606996</v>
      </c>
      <c r="AV41" s="188">
        <v>24.25</v>
      </c>
      <c r="AW41" s="186">
        <f t="shared" si="25"/>
        <v>1.7396260245901749</v>
      </c>
      <c r="AX41" s="186">
        <f>IF($AW$11&gt;0,(AW41/$AW$11)*'DADOS BASE'!W$40,0)</f>
        <v>312.56969668263906</v>
      </c>
      <c r="AY41" s="186">
        <f t="shared" si="26"/>
        <v>4.0254616422092058</v>
      </c>
      <c r="AZ41" s="186">
        <f t="shared" si="27"/>
        <v>2.1053291383128962E-4</v>
      </c>
      <c r="BA41" s="186">
        <f>AZ41*'DADOS BASE'!W$41</f>
        <v>1555.3863811640022</v>
      </c>
      <c r="BC41" s="188">
        <v>0</v>
      </c>
      <c r="BD41" s="186">
        <f>IF($BC$11&gt;0,(BC41/$BC$11)*'DADOS BASE'!W$39,0)</f>
        <v>0</v>
      </c>
      <c r="BE41" s="187"/>
    </row>
    <row r="42" spans="2:57" x14ac:dyDescent="0.3">
      <c r="F42" s="185"/>
      <c r="H42" s="186"/>
      <c r="J42" s="186"/>
      <c r="K42" s="186"/>
      <c r="L42" s="186"/>
      <c r="M42" s="186"/>
      <c r="N42" s="186"/>
      <c r="O42" s="187"/>
      <c r="P42" s="186"/>
      <c r="Q42" s="186"/>
      <c r="R42" s="186"/>
      <c r="S42" s="186"/>
      <c r="T42" s="186"/>
      <c r="U42" s="186"/>
      <c r="V42" s="186"/>
      <c r="W42" s="187"/>
      <c r="X42" s="186"/>
      <c r="Y42" s="186"/>
      <c r="Z42" s="185"/>
      <c r="AA42" s="186"/>
      <c r="AB42" s="186"/>
      <c r="AC42" s="186"/>
      <c r="AD42" s="186"/>
      <c r="AE42" s="186"/>
      <c r="AF42" s="186"/>
      <c r="AG42" s="186"/>
      <c r="AH42" s="185"/>
      <c r="AJ42" s="186"/>
      <c r="AK42" s="186"/>
      <c r="AL42" s="186"/>
      <c r="AM42" s="187"/>
      <c r="AN42" s="186"/>
      <c r="AO42" s="186"/>
      <c r="AQ42" s="186"/>
      <c r="AR42" s="186"/>
      <c r="AS42" s="187"/>
      <c r="AU42" s="186"/>
      <c r="AV42" s="186"/>
      <c r="AW42" s="186"/>
      <c r="AX42" s="186"/>
      <c r="AY42" s="186"/>
      <c r="AZ42" s="186"/>
      <c r="BA42" s="186"/>
      <c r="BC42" s="186"/>
      <c r="BD42" s="186"/>
      <c r="BE42" s="187"/>
    </row>
    <row r="43" spans="2:57" x14ac:dyDescent="0.3">
      <c r="B43" s="209" t="s">
        <v>182</v>
      </c>
      <c r="C43" s="209" t="s">
        <v>183</v>
      </c>
      <c r="D43" s="211" t="s">
        <v>154</v>
      </c>
      <c r="E43" s="211"/>
      <c r="F43" s="210"/>
      <c r="G43" s="211"/>
      <c r="H43" s="212">
        <f ca="1">SUM(H44:H61)</f>
        <v>31433125.007760644</v>
      </c>
      <c r="I43" s="211"/>
      <c r="J43" s="212">
        <f>SUM(J44:J61)</f>
        <v>30246810.72325357</v>
      </c>
      <c r="K43" s="212"/>
      <c r="L43" s="212">
        <f>SUM(L44:L61)</f>
        <v>30608.691923801653</v>
      </c>
      <c r="M43" s="212">
        <f>SUM(M44:M61)</f>
        <v>2.3879482916008124E-2</v>
      </c>
      <c r="N43" s="212">
        <f>SUM(N44:N61)</f>
        <v>30141484.852358833</v>
      </c>
      <c r="O43" s="214"/>
      <c r="P43" s="212">
        <f>SUM(P44:P61)</f>
        <v>214.83633647711494</v>
      </c>
      <c r="Q43" s="212">
        <f>SUM(Q44:Q61)</f>
        <v>52889.275681737126</v>
      </c>
      <c r="R43" s="212"/>
      <c r="S43" s="212">
        <f>SUM(S44:S61)</f>
        <v>66.561733615221996</v>
      </c>
      <c r="T43" s="212">
        <f>SUM(T44:T61)</f>
        <v>52436.595213005116</v>
      </c>
      <c r="U43" s="212"/>
      <c r="V43" s="212">
        <f>SUM(V44:V61)</f>
        <v>105325.87089474224</v>
      </c>
      <c r="W43" s="214"/>
      <c r="X43" s="212">
        <f>SUMIF(INDICADORES!$D$13:$D$53,C43,INDICADORES!$L$13:$L$53)</f>
        <v>4.0175861371203624E-2</v>
      </c>
      <c r="Y43" s="212">
        <f>X43*'DADOS BASE'!$I$79</f>
        <v>1668230.9911162783</v>
      </c>
      <c r="Z43" s="210">
        <f>SUMIF(INDICADORES!$D$13:$D$53,C43,INDICADORES!$R$13:$R$53)</f>
        <v>2.2946873746346491E-2</v>
      </c>
      <c r="AA43" s="212">
        <f>Z43*'DADOS BASE'!$I$84</f>
        <v>952828.00732495822</v>
      </c>
      <c r="AB43" s="212">
        <f>SUMIF(INDICADORES!$D$13:$D$53,C43,INDICADORES!$Z$13:$Z$53)</f>
        <v>4.781809220951256E-2</v>
      </c>
      <c r="AC43" s="212">
        <f>AB43*'DADOS BASE'!$I$89</f>
        <v>3971121.9940211009</v>
      </c>
      <c r="AD43" s="212"/>
      <c r="AE43" s="212">
        <f>SUM(AE44:AE61)</f>
        <v>17829</v>
      </c>
      <c r="AF43" s="212">
        <f>SUM(AF44:AF61)</f>
        <v>13076.342229553607</v>
      </c>
      <c r="AG43" s="212" t="s">
        <v>155</v>
      </c>
      <c r="AH43" s="210"/>
      <c r="AI43" s="211"/>
      <c r="AJ43" s="212"/>
      <c r="AK43" s="212"/>
      <c r="AL43" s="212"/>
      <c r="AM43" s="214">
        <f>SUM(AM44:AM61)</f>
        <v>2530584.026135602</v>
      </c>
      <c r="AN43" s="212"/>
      <c r="AO43" s="212"/>
      <c r="AP43" s="211"/>
      <c r="AQ43" s="212">
        <f>SUM(AQ44:AQ61)</f>
        <v>24032.798277435697</v>
      </c>
      <c r="AR43" s="212"/>
      <c r="AS43" s="214">
        <f>SUM(AS44:AS61)</f>
        <v>7670549.319726876</v>
      </c>
      <c r="AT43" s="211"/>
      <c r="AU43" s="212">
        <f t="shared" ref="AU43:BA43" si="28">SUM(AU44:AU61)</f>
        <v>41.730866807611001</v>
      </c>
      <c r="AV43" s="212">
        <f t="shared" si="28"/>
        <v>207.5</v>
      </c>
      <c r="AW43" s="212">
        <f t="shared" si="28"/>
        <v>10.43271670190275</v>
      </c>
      <c r="AX43" s="212">
        <f t="shared" si="28"/>
        <v>1874.512710775218</v>
      </c>
      <c r="AY43" s="212">
        <f t="shared" si="28"/>
        <v>22.018945626617032</v>
      </c>
      <c r="AZ43" s="212">
        <f t="shared" si="28"/>
        <v>1.1515978027604058E-3</v>
      </c>
      <c r="BA43" s="212">
        <f t="shared" si="28"/>
        <v>8507.8361686823173</v>
      </c>
      <c r="BB43" s="211"/>
      <c r="BC43" s="212">
        <f>SUM(BC44:BC61)</f>
        <v>35</v>
      </c>
      <c r="BD43" s="212">
        <f>SUM(BD44:BD61)</f>
        <v>189112.14043798961</v>
      </c>
      <c r="BE43" s="187"/>
    </row>
    <row r="44" spans="2:57" x14ac:dyDescent="0.3">
      <c r="B44" s="216" t="s">
        <v>182</v>
      </c>
      <c r="C44" s="218" t="s">
        <v>156</v>
      </c>
      <c r="D44" s="218" t="s">
        <v>157</v>
      </c>
      <c r="E44" s="218"/>
      <c r="F44" s="217"/>
      <c r="G44" s="218"/>
      <c r="H44" s="219"/>
      <c r="I44" s="218"/>
      <c r="J44" s="219"/>
      <c r="K44" s="219"/>
      <c r="L44" s="219">
        <v>0</v>
      </c>
      <c r="M44" s="219">
        <v>0</v>
      </c>
      <c r="N44" s="219">
        <v>0</v>
      </c>
      <c r="O44" s="221"/>
      <c r="P44" s="219"/>
      <c r="Q44" s="219"/>
      <c r="R44" s="219"/>
      <c r="S44" s="219"/>
      <c r="T44" s="219"/>
      <c r="U44" s="219"/>
      <c r="V44" s="219"/>
      <c r="W44" s="221"/>
      <c r="X44" s="219"/>
      <c r="Y44" s="219"/>
      <c r="Z44" s="217"/>
      <c r="AA44" s="219"/>
      <c r="AB44" s="219"/>
      <c r="AC44" s="219"/>
      <c r="AD44" s="219"/>
      <c r="AE44" s="219"/>
      <c r="AF44" s="219"/>
      <c r="AG44" s="219" t="s">
        <v>155</v>
      </c>
      <c r="AH44" s="217"/>
      <c r="AI44" s="218"/>
      <c r="AJ44" s="219"/>
      <c r="AK44" s="219"/>
      <c r="AL44" s="219"/>
      <c r="AM44" s="221"/>
      <c r="AN44" s="219"/>
      <c r="AO44" s="219"/>
      <c r="AP44" s="218"/>
      <c r="AQ44" s="219"/>
      <c r="AR44" s="219"/>
      <c r="AS44" s="221"/>
      <c r="AT44" s="218"/>
      <c r="AU44" s="219"/>
      <c r="AV44" s="219"/>
      <c r="AW44" s="219"/>
      <c r="AX44" s="219"/>
      <c r="AY44" s="219"/>
      <c r="AZ44" s="219"/>
      <c r="BA44" s="219"/>
      <c r="BB44" s="218"/>
      <c r="BC44" s="219"/>
      <c r="BD44" s="219"/>
      <c r="BE44" s="187"/>
    </row>
    <row r="45" spans="2:57" x14ac:dyDescent="0.3">
      <c r="B45" s="184" t="s">
        <v>182</v>
      </c>
      <c r="C45" s="184" t="s">
        <v>184</v>
      </c>
      <c r="D45" s="184" t="s">
        <v>96</v>
      </c>
      <c r="E45" s="184">
        <v>2018</v>
      </c>
      <c r="F45" s="185"/>
      <c r="H45" s="186">
        <f ca="1">IF(AND(E45&gt;=2018,SUMIF('DADOS BASE'!$C$101:$D$104,D45,'DADOS BASE'!$H$101:$H$104)&gt;J45),
SUMIF('DADOS BASE'!$C$101:$D$104,D45,'DADOS BASE'!$H$101:$H$104),
J45)</f>
        <v>700000</v>
      </c>
      <c r="J45" s="186">
        <f t="shared" ref="J45:J61" si="29">N45+Q45+T45</f>
        <v>80752.043213671059</v>
      </c>
      <c r="K45" s="186"/>
      <c r="L45" s="188">
        <v>82.003737541527997</v>
      </c>
      <c r="M45" s="186">
        <f t="shared" ref="M45:M61" si="30">L45/$L$11</f>
        <v>6.3975515665503147E-5</v>
      </c>
      <c r="N45" s="186">
        <f>L45*'DADOS BASE'!$I$29</f>
        <v>80752.043213671059</v>
      </c>
      <c r="O45" s="187"/>
      <c r="P45" s="188">
        <v>0</v>
      </c>
      <c r="Q45" s="186">
        <f>P45*'DADOS BASE'!$I$33</f>
        <v>0</v>
      </c>
      <c r="R45" s="186"/>
      <c r="S45" s="188">
        <v>0</v>
      </c>
      <c r="T45" s="186">
        <f>S45*'DADOS BASE'!$I$37</f>
        <v>0</v>
      </c>
      <c r="U45" s="186"/>
      <c r="V45" s="186">
        <f t="shared" ref="V45:V61" si="31">T45+Q45</f>
        <v>0</v>
      </c>
      <c r="W45" s="187"/>
      <c r="X45" s="186"/>
      <c r="Y45" s="186"/>
      <c r="Z45" s="185"/>
      <c r="AA45" s="186"/>
      <c r="AB45" s="186"/>
      <c r="AC45" s="186"/>
      <c r="AD45" s="186"/>
      <c r="AE45" s="188">
        <v>84</v>
      </c>
      <c r="AF45" s="188">
        <v>63.359634551494999</v>
      </c>
      <c r="AG45" s="186" t="s">
        <v>155</v>
      </c>
      <c r="AH45" s="189">
        <v>0.58799999999999997</v>
      </c>
      <c r="AI45" s="183">
        <f t="shared" ref="AI45:AI61" si="32">AF45*AH45</f>
        <v>37.255465116279055</v>
      </c>
      <c r="AJ45" s="186">
        <f t="shared" ref="AJ45:AJ61" si="33">(AH45-$AI$12)*$AJ$12</f>
        <v>-0.18117905189226746</v>
      </c>
      <c r="AK45" s="186"/>
      <c r="AL45" s="186">
        <f t="shared" ref="AL45:AL61" si="34">$AL$11-(AJ45*$AL$11)</f>
        <v>212.22996940668924</v>
      </c>
      <c r="AM45" s="187">
        <f t="shared" ref="AM45:AM61" si="35">AF45*AL45</f>
        <v>13446.813302482793</v>
      </c>
      <c r="AN45" s="186"/>
      <c r="AO45" s="188">
        <v>2.0240963855422001</v>
      </c>
      <c r="AQ45" s="186">
        <f t="shared" ref="AQ45:AQ61" si="36">AF45*AO45</f>
        <v>128.24600728495571</v>
      </c>
      <c r="AR45" s="186">
        <f t="shared" ref="AR45:AR61" si="37">AQ45/$AQ$11</f>
        <v>1.3645242329761253E-4</v>
      </c>
      <c r="AS45" s="187">
        <f>AR45*'DADOS BASE'!W$38</f>
        <v>40932.283980468215</v>
      </c>
      <c r="AU45" s="188">
        <v>0</v>
      </c>
      <c r="AV45" s="188">
        <v>0</v>
      </c>
      <c r="AW45" s="186">
        <f t="shared" ref="AW45:AW61" si="38">AU45/4</f>
        <v>0</v>
      </c>
      <c r="AX45" s="186">
        <f>IF($AW$11&gt;0,(AW45/$AW$11)*'DADOS BASE'!W$40,0)</f>
        <v>0</v>
      </c>
      <c r="AY45" s="186">
        <f t="shared" ref="AY45:AY61" si="39">AO45*AW45</f>
        <v>0</v>
      </c>
      <c r="AZ45" s="186">
        <f t="shared" ref="AZ45:AZ61" si="40">IF($AY$11&gt;0,AY45/$AY$11,0)</f>
        <v>0</v>
      </c>
      <c r="BA45" s="186">
        <f>AZ45*'DADOS BASE'!W$41</f>
        <v>0</v>
      </c>
      <c r="BC45" s="188">
        <v>0</v>
      </c>
      <c r="BD45" s="186">
        <f>IF($BC$11&gt;0,(BC45/$BC$11)*'DADOS BASE'!W$39,0)</f>
        <v>0</v>
      </c>
      <c r="BE45" s="187"/>
    </row>
    <row r="46" spans="2:57" x14ac:dyDescent="0.3">
      <c r="B46" s="223" t="s">
        <v>182</v>
      </c>
      <c r="C46" s="223" t="s">
        <v>185</v>
      </c>
      <c r="D46" s="223" t="s">
        <v>96</v>
      </c>
      <c r="E46" s="223">
        <v>2018</v>
      </c>
      <c r="F46" s="224"/>
      <c r="G46" s="225"/>
      <c r="H46" s="226">
        <f ca="1">IF(AND(E46&gt;=2018,SUMIF('DADOS BASE'!$C$101:$D$104,D46,'DADOS BASE'!$H$101:$H$104)&gt;J46),
SUMIF('DADOS BASE'!$C$101:$D$104,D46,'DADOS BASE'!$H$101:$H$104),
J46)</f>
        <v>700000</v>
      </c>
      <c r="I46" s="225"/>
      <c r="J46" s="226">
        <f t="shared" si="29"/>
        <v>132933.67227925692</v>
      </c>
      <c r="K46" s="226"/>
      <c r="L46" s="227">
        <v>134.99420619209999</v>
      </c>
      <c r="M46" s="226">
        <f t="shared" si="30"/>
        <v>1.0531622352726646E-4</v>
      </c>
      <c r="N46" s="226">
        <f>L46*'DADOS BASE'!$I$29</f>
        <v>132933.67227925692</v>
      </c>
      <c r="O46" s="228"/>
      <c r="P46" s="227">
        <v>0</v>
      </c>
      <c r="Q46" s="226">
        <f>P46*'DADOS BASE'!$I$33</f>
        <v>0</v>
      </c>
      <c r="R46" s="226"/>
      <c r="S46" s="227">
        <v>0</v>
      </c>
      <c r="T46" s="226">
        <f>S46*'DADOS BASE'!$I$37</f>
        <v>0</v>
      </c>
      <c r="U46" s="226"/>
      <c r="V46" s="226">
        <f t="shared" si="31"/>
        <v>0</v>
      </c>
      <c r="W46" s="228"/>
      <c r="X46" s="226"/>
      <c r="Y46" s="226"/>
      <c r="Z46" s="224"/>
      <c r="AA46" s="226"/>
      <c r="AB46" s="226"/>
      <c r="AC46" s="226"/>
      <c r="AD46" s="226"/>
      <c r="AE46" s="227">
        <v>241</v>
      </c>
      <c r="AF46" s="227">
        <v>106.24329013758999</v>
      </c>
      <c r="AG46" s="226" t="s">
        <v>155</v>
      </c>
      <c r="AH46" s="229">
        <v>0.61299999999999999</v>
      </c>
      <c r="AI46" s="225">
        <f t="shared" si="32"/>
        <v>65.127136854342666</v>
      </c>
      <c r="AJ46" s="226">
        <f t="shared" si="33"/>
        <v>-0.14745920031527243</v>
      </c>
      <c r="AK46" s="226"/>
      <c r="AL46" s="226">
        <f t="shared" si="34"/>
        <v>206.17130873444046</v>
      </c>
      <c r="AM46" s="228">
        <f t="shared" si="35"/>
        <v>21904.3181719198</v>
      </c>
      <c r="AN46" s="226"/>
      <c r="AO46" s="227">
        <v>1.9818652849741001</v>
      </c>
      <c r="AP46" s="225"/>
      <c r="AQ46" s="226">
        <f t="shared" si="36"/>
        <v>210.55988848512078</v>
      </c>
      <c r="AR46" s="226">
        <f t="shared" si="37"/>
        <v>2.2403354023513693E-4</v>
      </c>
      <c r="AS46" s="228">
        <f>AR46*'DADOS BASE'!W$38</f>
        <v>67204.409188493504</v>
      </c>
      <c r="AT46" s="225"/>
      <c r="AU46" s="227">
        <v>0</v>
      </c>
      <c r="AV46" s="227">
        <v>0</v>
      </c>
      <c r="AW46" s="226">
        <f t="shared" si="38"/>
        <v>0</v>
      </c>
      <c r="AX46" s="226">
        <f>IF($AW$11&gt;0,(AW46/$AW$11)*'DADOS BASE'!W$40,0)</f>
        <v>0</v>
      </c>
      <c r="AY46" s="226">
        <f t="shared" si="39"/>
        <v>0</v>
      </c>
      <c r="AZ46" s="226">
        <f t="shared" si="40"/>
        <v>0</v>
      </c>
      <c r="BA46" s="226">
        <f>AZ46*'DADOS BASE'!W$41</f>
        <v>0</v>
      </c>
      <c r="BB46" s="225"/>
      <c r="BC46" s="227">
        <v>0</v>
      </c>
      <c r="BD46" s="226">
        <f>IF($BC$11&gt;0,(BC46/$BC$11)*'DADOS BASE'!W$39,0)</f>
        <v>0</v>
      </c>
      <c r="BE46" s="187"/>
    </row>
    <row r="47" spans="2:57" x14ac:dyDescent="0.3">
      <c r="B47" s="184" t="s">
        <v>182</v>
      </c>
      <c r="C47" s="184" t="s">
        <v>186</v>
      </c>
      <c r="D47" s="184" t="s">
        <v>96</v>
      </c>
      <c r="E47" s="184">
        <v>2014</v>
      </c>
      <c r="F47" s="185"/>
      <c r="H47" s="186">
        <f ca="1">IF(AND(E47&gt;=2018,SUMIF('DADOS BASE'!$C$101:$D$104,D47,'DADOS BASE'!$H$101:$H$104)&gt;J47),
SUMIF('DADOS BASE'!$C$101:$D$104,D47,'DADOS BASE'!$H$101:$H$104),
J47)</f>
        <v>603109.16196314001</v>
      </c>
      <c r="J47" s="186">
        <f t="shared" si="29"/>
        <v>603109.16196314001</v>
      </c>
      <c r="K47" s="186"/>
      <c r="L47" s="188">
        <v>612.45763522851996</v>
      </c>
      <c r="M47" s="186">
        <f t="shared" si="30"/>
        <v>4.7781106339423433E-4</v>
      </c>
      <c r="N47" s="186">
        <f>L47*'DADOS BASE'!$I$29</f>
        <v>603109.16196314001</v>
      </c>
      <c r="O47" s="187"/>
      <c r="P47" s="188">
        <v>0</v>
      </c>
      <c r="Q47" s="186">
        <f>P47*'DADOS BASE'!$I$33</f>
        <v>0</v>
      </c>
      <c r="R47" s="186"/>
      <c r="S47" s="188">
        <v>0</v>
      </c>
      <c r="T47" s="186">
        <f>S47*'DADOS BASE'!$I$37</f>
        <v>0</v>
      </c>
      <c r="U47" s="186"/>
      <c r="V47" s="186">
        <f t="shared" si="31"/>
        <v>0</v>
      </c>
      <c r="W47" s="187"/>
      <c r="X47" s="186"/>
      <c r="Y47" s="186"/>
      <c r="Z47" s="185"/>
      <c r="AA47" s="186"/>
      <c r="AB47" s="186"/>
      <c r="AC47" s="186"/>
      <c r="AD47" s="186"/>
      <c r="AE47" s="188">
        <v>300</v>
      </c>
      <c r="AF47" s="188">
        <v>254.43971008362001</v>
      </c>
      <c r="AG47" s="186" t="s">
        <v>155</v>
      </c>
      <c r="AH47" s="189">
        <v>0.61399999999999999</v>
      </c>
      <c r="AI47" s="183">
        <f t="shared" si="32"/>
        <v>156.22598199134268</v>
      </c>
      <c r="AJ47" s="186">
        <f t="shared" si="33"/>
        <v>-0.14611040625219263</v>
      </c>
      <c r="AK47" s="186"/>
      <c r="AL47" s="186">
        <f t="shared" si="34"/>
        <v>205.92896230755051</v>
      </c>
      <c r="AM47" s="187">
        <f t="shared" si="35"/>
        <v>52396.505467353862</v>
      </c>
      <c r="AN47" s="186"/>
      <c r="AO47" s="188">
        <v>1.5948275862068999</v>
      </c>
      <c r="AQ47" s="186">
        <f t="shared" si="36"/>
        <v>405.78746866784314</v>
      </c>
      <c r="AR47" s="186">
        <f t="shared" si="37"/>
        <v>4.3175366325830743E-4</v>
      </c>
      <c r="AS47" s="187">
        <f>AR47*'DADOS BASE'!W$38</f>
        <v>129515.20483847427</v>
      </c>
      <c r="AU47" s="188">
        <v>0</v>
      </c>
      <c r="AV47" s="188">
        <v>0</v>
      </c>
      <c r="AW47" s="186">
        <f t="shared" si="38"/>
        <v>0</v>
      </c>
      <c r="AX47" s="186">
        <f>IF($AW$11&gt;0,(AW47/$AW$11)*'DADOS BASE'!W$40,0)</f>
        <v>0</v>
      </c>
      <c r="AY47" s="186">
        <f t="shared" si="39"/>
        <v>0</v>
      </c>
      <c r="AZ47" s="186">
        <f t="shared" si="40"/>
        <v>0</v>
      </c>
      <c r="BA47" s="186">
        <f>AZ47*'DADOS BASE'!W$41</f>
        <v>0</v>
      </c>
      <c r="BC47" s="188">
        <v>0</v>
      </c>
      <c r="BD47" s="186">
        <f>IF($BC$11&gt;0,(BC47/$BC$11)*'DADOS BASE'!W$39,0)</f>
        <v>0</v>
      </c>
      <c r="BE47" s="187"/>
    </row>
    <row r="48" spans="2:57" x14ac:dyDescent="0.3">
      <c r="B48" s="223" t="s">
        <v>182</v>
      </c>
      <c r="C48" s="223" t="s">
        <v>187</v>
      </c>
      <c r="D48" s="223" t="s">
        <v>92</v>
      </c>
      <c r="E48" s="223">
        <v>2009</v>
      </c>
      <c r="F48" s="224"/>
      <c r="G48" s="225"/>
      <c r="H48" s="226">
        <f ca="1">IF(AND(E48&gt;=2018,SUMIF('DADOS BASE'!$C$101:$D$104,D48,'DADOS BASE'!$H$101:$H$104)&gt;J48),
SUMIF('DADOS BASE'!$C$101:$D$104,D48,'DADOS BASE'!$H$101:$H$104),
J48)</f>
        <v>1454476.4523526498</v>
      </c>
      <c r="I48" s="225"/>
      <c r="J48" s="226">
        <f t="shared" si="29"/>
        <v>1454476.4523526498</v>
      </c>
      <c r="K48" s="226"/>
      <c r="L48" s="227">
        <v>1476.8568044558001</v>
      </c>
      <c r="M48" s="226">
        <f t="shared" si="30"/>
        <v>1.1521752356875125E-3</v>
      </c>
      <c r="N48" s="226">
        <f>L48*'DADOS BASE'!$I$29</f>
        <v>1454314.2552914026</v>
      </c>
      <c r="O48" s="228"/>
      <c r="P48" s="227">
        <v>0.65884476534295999</v>
      </c>
      <c r="Q48" s="226">
        <f>P48*'DADOS BASE'!$I$33</f>
        <v>162.19706124715597</v>
      </c>
      <c r="R48" s="226"/>
      <c r="S48" s="227">
        <v>0</v>
      </c>
      <c r="T48" s="226">
        <f>S48*'DADOS BASE'!$I$37</f>
        <v>0</v>
      </c>
      <c r="U48" s="226"/>
      <c r="V48" s="226">
        <f t="shared" si="31"/>
        <v>162.19706124715597</v>
      </c>
      <c r="W48" s="228"/>
      <c r="X48" s="226"/>
      <c r="Y48" s="226"/>
      <c r="Z48" s="224"/>
      <c r="AA48" s="226"/>
      <c r="AB48" s="226"/>
      <c r="AC48" s="226"/>
      <c r="AD48" s="226"/>
      <c r="AE48" s="227">
        <v>773</v>
      </c>
      <c r="AF48" s="227">
        <v>727.00505698213999</v>
      </c>
      <c r="AG48" s="226" t="s">
        <v>155</v>
      </c>
      <c r="AH48" s="229">
        <v>0.58599999999999997</v>
      </c>
      <c r="AI48" s="225">
        <f t="shared" si="32"/>
        <v>426.02496339153402</v>
      </c>
      <c r="AJ48" s="226">
        <f t="shared" si="33"/>
        <v>-0.18387664001842707</v>
      </c>
      <c r="AK48" s="226"/>
      <c r="AL48" s="226">
        <f t="shared" si="34"/>
        <v>212.71466226046911</v>
      </c>
      <c r="AM48" s="228">
        <f t="shared" si="35"/>
        <v>154644.63515760901</v>
      </c>
      <c r="AN48" s="226"/>
      <c r="AO48" s="227">
        <v>1.7697841726618999</v>
      </c>
      <c r="AP48" s="225"/>
      <c r="AQ48" s="226">
        <f t="shared" si="36"/>
        <v>1286.6420432921541</v>
      </c>
      <c r="AR48" s="226">
        <f t="shared" si="37"/>
        <v>1.3689738062075429E-3</v>
      </c>
      <c r="AS48" s="228">
        <f>AR48*'DADOS BASE'!W$38</f>
        <v>410657.59950112988</v>
      </c>
      <c r="AT48" s="225"/>
      <c r="AU48" s="227">
        <v>0</v>
      </c>
      <c r="AV48" s="227">
        <v>0.25</v>
      </c>
      <c r="AW48" s="226">
        <f t="shared" si="38"/>
        <v>0</v>
      </c>
      <c r="AX48" s="226">
        <f>IF($AW$11&gt;0,(AW48/$AW$11)*'DADOS BASE'!W$40,0)</f>
        <v>0</v>
      </c>
      <c r="AY48" s="226">
        <f t="shared" si="39"/>
        <v>0</v>
      </c>
      <c r="AZ48" s="226">
        <f t="shared" si="40"/>
        <v>0</v>
      </c>
      <c r="BA48" s="226">
        <f>AZ48*'DADOS BASE'!W$41</f>
        <v>0</v>
      </c>
      <c r="BB48" s="225"/>
      <c r="BC48" s="227">
        <v>0</v>
      </c>
      <c r="BD48" s="226">
        <f>IF($BC$11&gt;0,(BC48/$BC$11)*'DADOS BASE'!W$39,0)</f>
        <v>0</v>
      </c>
      <c r="BE48" s="187"/>
    </row>
    <row r="49" spans="2:57" x14ac:dyDescent="0.3">
      <c r="B49" s="184" t="s">
        <v>182</v>
      </c>
      <c r="C49" s="184" t="s">
        <v>188</v>
      </c>
      <c r="D49" s="184" t="s">
        <v>92</v>
      </c>
      <c r="E49" s="184">
        <v>2016</v>
      </c>
      <c r="F49" s="185"/>
      <c r="H49" s="186">
        <f ca="1">IF(AND(E49&gt;=2018,SUMIF('DADOS BASE'!$C$101:$D$104,D49,'DADOS BASE'!$H$101:$H$104)&gt;J49),
SUMIF('DADOS BASE'!$C$101:$D$104,D49,'DADOS BASE'!$H$101:$H$104),
J49)</f>
        <v>1319760.8955615575</v>
      </c>
      <c r="J49" s="186">
        <f t="shared" si="29"/>
        <v>1319760.8955615575</v>
      </c>
      <c r="K49" s="186"/>
      <c r="L49" s="188">
        <v>1337.0178049023</v>
      </c>
      <c r="M49" s="186">
        <f t="shared" si="30"/>
        <v>1.0430793289057918E-3</v>
      </c>
      <c r="N49" s="186">
        <f>L49*'DADOS BASE'!$I$29</f>
        <v>1316609.7399431579</v>
      </c>
      <c r="O49" s="187"/>
      <c r="P49" s="188">
        <v>0</v>
      </c>
      <c r="Q49" s="186">
        <f>P49*'DADOS BASE'!$I$33</f>
        <v>0</v>
      </c>
      <c r="R49" s="186"/>
      <c r="S49" s="188">
        <v>4</v>
      </c>
      <c r="T49" s="186">
        <f>S49*'DADOS BASE'!$I$37</f>
        <v>3151.1556183995422</v>
      </c>
      <c r="U49" s="186"/>
      <c r="V49" s="186">
        <f t="shared" si="31"/>
        <v>3151.1556183995422</v>
      </c>
      <c r="W49" s="187"/>
      <c r="X49" s="186"/>
      <c r="Y49" s="186"/>
      <c r="Z49" s="185"/>
      <c r="AA49" s="186"/>
      <c r="AB49" s="186"/>
      <c r="AC49" s="186"/>
      <c r="AD49" s="186"/>
      <c r="AE49" s="188">
        <v>810</v>
      </c>
      <c r="AF49" s="188">
        <v>580.07686769776001</v>
      </c>
      <c r="AG49" s="186" t="s">
        <v>155</v>
      </c>
      <c r="AH49" s="189">
        <v>0.56299999999999994</v>
      </c>
      <c r="AI49" s="183">
        <f t="shared" si="32"/>
        <v>326.58327651383883</v>
      </c>
      <c r="AJ49" s="186">
        <f t="shared" si="33"/>
        <v>-0.21489890346926249</v>
      </c>
      <c r="AK49" s="186"/>
      <c r="AL49" s="186">
        <f t="shared" si="34"/>
        <v>218.28863007893798</v>
      </c>
      <c r="AM49" s="187">
        <f t="shared" si="35"/>
        <v>126624.18479022538</v>
      </c>
      <c r="AN49" s="186"/>
      <c r="AO49" s="188">
        <v>2.2333736396614001</v>
      </c>
      <c r="AQ49" s="186">
        <f t="shared" si="36"/>
        <v>1295.5283852935308</v>
      </c>
      <c r="AR49" s="186">
        <f t="shared" si="37"/>
        <v>1.3784287820466344E-3</v>
      </c>
      <c r="AS49" s="187">
        <f>AR49*'DADOS BASE'!W$38</f>
        <v>413493.85368204722</v>
      </c>
      <c r="AU49" s="188">
        <v>4</v>
      </c>
      <c r="AV49" s="188">
        <v>5</v>
      </c>
      <c r="AW49" s="186">
        <f t="shared" si="38"/>
        <v>1</v>
      </c>
      <c r="AX49" s="186">
        <f>IF($AW$11&gt;0,(AW49/$AW$11)*'DADOS BASE'!W$40,0)</f>
        <v>179.67637426916221</v>
      </c>
      <c r="AY49" s="186">
        <f t="shared" si="39"/>
        <v>2.2333736396614001</v>
      </c>
      <c r="AZ49" s="186">
        <f t="shared" si="40"/>
        <v>1.1680614593407439E-4</v>
      </c>
      <c r="BA49" s="186">
        <f>AZ49*'DADOS BASE'!W$41</f>
        <v>862.94672560178572</v>
      </c>
      <c r="BC49" s="188">
        <v>0</v>
      </c>
      <c r="BD49" s="186">
        <f>IF($BC$11&gt;0,(BC49/$BC$11)*'DADOS BASE'!W$39,0)</f>
        <v>0</v>
      </c>
      <c r="BE49" s="187"/>
    </row>
    <row r="50" spans="2:57" x14ac:dyDescent="0.3">
      <c r="B50" s="223" t="s">
        <v>182</v>
      </c>
      <c r="C50" s="223" t="s">
        <v>189</v>
      </c>
      <c r="D50" s="223" t="s">
        <v>92</v>
      </c>
      <c r="E50" s="223">
        <v>2013</v>
      </c>
      <c r="F50" s="224"/>
      <c r="G50" s="225"/>
      <c r="H50" s="226">
        <f ca="1">IF(AND(E50&gt;=2018,SUMIF('DADOS BASE'!$C$101:$D$104,D50,'DADOS BASE'!$H$101:$H$104)&gt;J50),
SUMIF('DADOS BASE'!$C$101:$D$104,D50,'DADOS BASE'!$H$101:$H$104),
J50)</f>
        <v>1238497.3732165738</v>
      </c>
      <c r="I50" s="225"/>
      <c r="J50" s="226">
        <f t="shared" si="29"/>
        <v>1238497.3732165738</v>
      </c>
      <c r="K50" s="226"/>
      <c r="L50" s="227">
        <v>1257.6946600644001</v>
      </c>
      <c r="M50" s="226">
        <f t="shared" si="30"/>
        <v>9.8119508743882075E-4</v>
      </c>
      <c r="N50" s="226">
        <f>L50*'DADOS BASE'!$I$29</f>
        <v>1238497.3732165738</v>
      </c>
      <c r="O50" s="228"/>
      <c r="P50" s="227">
        <v>0</v>
      </c>
      <c r="Q50" s="226">
        <f>P50*'DADOS BASE'!$I$33</f>
        <v>0</v>
      </c>
      <c r="R50" s="226"/>
      <c r="S50" s="227">
        <v>0</v>
      </c>
      <c r="T50" s="226">
        <f>S50*'DADOS BASE'!$I$37</f>
        <v>0</v>
      </c>
      <c r="U50" s="226"/>
      <c r="V50" s="226">
        <f t="shared" si="31"/>
        <v>0</v>
      </c>
      <c r="W50" s="228"/>
      <c r="X50" s="226"/>
      <c r="Y50" s="226"/>
      <c r="Z50" s="224"/>
      <c r="AA50" s="226"/>
      <c r="AB50" s="226"/>
      <c r="AC50" s="226"/>
      <c r="AD50" s="226"/>
      <c r="AE50" s="227">
        <v>597</v>
      </c>
      <c r="AF50" s="227">
        <v>535.31110343960995</v>
      </c>
      <c r="AG50" s="226" t="s">
        <v>155</v>
      </c>
      <c r="AH50" s="229">
        <v>0.60499999999999998</v>
      </c>
      <c r="AI50" s="225">
        <f t="shared" si="32"/>
        <v>323.86321758096403</v>
      </c>
      <c r="AJ50" s="226">
        <f t="shared" si="33"/>
        <v>-0.15824955281991085</v>
      </c>
      <c r="AK50" s="226"/>
      <c r="AL50" s="226">
        <f t="shared" si="34"/>
        <v>208.11008014956008</v>
      </c>
      <c r="AM50" s="228">
        <f t="shared" si="35"/>
        <v>111403.63664176667</v>
      </c>
      <c r="AN50" s="226"/>
      <c r="AO50" s="227">
        <v>2.1176470588235001</v>
      </c>
      <c r="AP50" s="225"/>
      <c r="AQ50" s="226">
        <f t="shared" si="36"/>
        <v>1133.5999837544525</v>
      </c>
      <c r="AR50" s="226">
        <f t="shared" si="37"/>
        <v>1.2061386401662636E-3</v>
      </c>
      <c r="AS50" s="228">
        <f>AR50*'DADOS BASE'!W$38</f>
        <v>361811.15839490615</v>
      </c>
      <c r="AT50" s="225"/>
      <c r="AU50" s="227">
        <v>0</v>
      </c>
      <c r="AV50" s="227">
        <v>0</v>
      </c>
      <c r="AW50" s="226">
        <f t="shared" si="38"/>
        <v>0</v>
      </c>
      <c r="AX50" s="226">
        <f>IF($AW$11&gt;0,(AW50/$AW$11)*'DADOS BASE'!W$40,0)</f>
        <v>0</v>
      </c>
      <c r="AY50" s="226">
        <f t="shared" si="39"/>
        <v>0</v>
      </c>
      <c r="AZ50" s="226">
        <f t="shared" si="40"/>
        <v>0</v>
      </c>
      <c r="BA50" s="226">
        <f>AZ50*'DADOS BASE'!W$41</f>
        <v>0</v>
      </c>
      <c r="BB50" s="225"/>
      <c r="BC50" s="227">
        <v>0</v>
      </c>
      <c r="BD50" s="226">
        <f>IF($BC$11&gt;0,(BC50/$BC$11)*'DADOS BASE'!W$39,0)</f>
        <v>0</v>
      </c>
      <c r="BE50" s="187"/>
    </row>
    <row r="51" spans="2:57" x14ac:dyDescent="0.3">
      <c r="B51" s="184" t="s">
        <v>182</v>
      </c>
      <c r="C51" s="184" t="s">
        <v>190</v>
      </c>
      <c r="D51" s="184" t="s">
        <v>92</v>
      </c>
      <c r="E51" s="184">
        <v>2016</v>
      </c>
      <c r="F51" s="185"/>
      <c r="H51" s="186">
        <f ca="1">IF(AND(E51&gt;=2018,SUMIF('DADOS BASE'!$C$101:$D$104,D51,'DADOS BASE'!$H$101:$H$104)&gt;J51),
SUMIF('DADOS BASE'!$C$101:$D$104,D51,'DADOS BASE'!$H$101:$H$104),
J51)</f>
        <v>1163589.1384182821</v>
      </c>
      <c r="J51" s="186">
        <f t="shared" si="29"/>
        <v>1163589.1384182821</v>
      </c>
      <c r="K51" s="186"/>
      <c r="L51" s="188">
        <v>1175.8234954050999</v>
      </c>
      <c r="M51" s="186">
        <f t="shared" si="30"/>
        <v>9.1732299899210132E-4</v>
      </c>
      <c r="N51" s="186">
        <f>L51*'DADOS BASE'!$I$29</f>
        <v>1157875.8793099902</v>
      </c>
      <c r="O51" s="187"/>
      <c r="P51" s="188">
        <v>23.207269155205999</v>
      </c>
      <c r="Q51" s="186">
        <f>P51*'DADOS BASE'!$I$33</f>
        <v>5713.2591082920144</v>
      </c>
      <c r="R51" s="186"/>
      <c r="S51" s="188">
        <v>0</v>
      </c>
      <c r="T51" s="186">
        <f>S51*'DADOS BASE'!$I$37</f>
        <v>0</v>
      </c>
      <c r="U51" s="186"/>
      <c r="V51" s="186">
        <f t="shared" si="31"/>
        <v>5713.2591082920144</v>
      </c>
      <c r="W51" s="187"/>
      <c r="X51" s="186"/>
      <c r="Y51" s="186"/>
      <c r="Z51" s="185"/>
      <c r="AA51" s="186"/>
      <c r="AB51" s="186"/>
      <c r="AC51" s="186"/>
      <c r="AD51" s="186"/>
      <c r="AE51" s="188">
        <v>749</v>
      </c>
      <c r="AF51" s="188">
        <v>554.00538238760998</v>
      </c>
      <c r="AG51" s="186" t="s">
        <v>155</v>
      </c>
      <c r="AH51" s="189">
        <v>0.64400000000000002</v>
      </c>
      <c r="AI51" s="183">
        <f t="shared" si="32"/>
        <v>356.77946625762081</v>
      </c>
      <c r="AJ51" s="186">
        <f t="shared" si="33"/>
        <v>-0.1056465843597986</v>
      </c>
      <c r="AK51" s="186"/>
      <c r="AL51" s="186">
        <f t="shared" si="34"/>
        <v>198.658569500852</v>
      </c>
      <c r="AM51" s="187">
        <f t="shared" si="35"/>
        <v>110057.91676089511</v>
      </c>
      <c r="AN51" s="186"/>
      <c r="AO51" s="188">
        <v>2.0815822002472002</v>
      </c>
      <c r="AQ51" s="186">
        <f t="shared" si="36"/>
        <v>1153.2077428191926</v>
      </c>
      <c r="AR51" s="186">
        <f t="shared" si="37"/>
        <v>1.2270010927015278E-3</v>
      </c>
      <c r="AS51" s="187">
        <f>AR51*'DADOS BASE'!W$38</f>
        <v>368069.36774777307</v>
      </c>
      <c r="AU51" s="188">
        <v>0</v>
      </c>
      <c r="AV51" s="188">
        <v>15</v>
      </c>
      <c r="AW51" s="186">
        <f t="shared" si="38"/>
        <v>0</v>
      </c>
      <c r="AX51" s="186">
        <f>IF($AW$11&gt;0,(AW51/$AW$11)*'DADOS BASE'!W$40,0)</f>
        <v>0</v>
      </c>
      <c r="AY51" s="186">
        <f t="shared" si="39"/>
        <v>0</v>
      </c>
      <c r="AZ51" s="186">
        <f t="shared" si="40"/>
        <v>0</v>
      </c>
      <c r="BA51" s="186">
        <f>AZ51*'DADOS BASE'!W$41</f>
        <v>0</v>
      </c>
      <c r="BC51" s="188">
        <v>0</v>
      </c>
      <c r="BD51" s="186">
        <f>IF($BC$11&gt;0,(BC51/$BC$11)*'DADOS BASE'!W$39,0)</f>
        <v>0</v>
      </c>
      <c r="BE51" s="187"/>
    </row>
    <row r="52" spans="2:57" x14ac:dyDescent="0.3">
      <c r="B52" s="223" t="s">
        <v>182</v>
      </c>
      <c r="C52" s="223" t="s">
        <v>191</v>
      </c>
      <c r="D52" s="223" t="s">
        <v>92</v>
      </c>
      <c r="E52" s="223">
        <v>2010</v>
      </c>
      <c r="F52" s="224"/>
      <c r="G52" s="225"/>
      <c r="H52" s="226">
        <f ca="1">IF(AND(E52&gt;=2018,SUMIF('DADOS BASE'!$C$101:$D$104,D52,'DADOS BASE'!$H$101:$H$104)&gt;J52),
SUMIF('DADOS BASE'!$C$101:$D$104,D52,'DADOS BASE'!$H$101:$H$104),
J52)</f>
        <v>1594722.6387162032</v>
      </c>
      <c r="I52" s="225"/>
      <c r="J52" s="226">
        <f t="shared" si="29"/>
        <v>1594722.6387162032</v>
      </c>
      <c r="K52" s="226"/>
      <c r="L52" s="227">
        <v>1607.9408746856</v>
      </c>
      <c r="M52" s="226">
        <f t="shared" si="30"/>
        <v>1.2544409523475317E-3</v>
      </c>
      <c r="N52" s="226">
        <f>L52*'DADOS BASE'!$I$29</f>
        <v>1583397.4754124382</v>
      </c>
      <c r="O52" s="228"/>
      <c r="P52" s="227">
        <v>32.562834465477003</v>
      </c>
      <c r="Q52" s="226">
        <f>P52*'DADOS BASE'!$I$33</f>
        <v>8016.4499044454769</v>
      </c>
      <c r="R52" s="226"/>
      <c r="S52" s="227">
        <v>4.2</v>
      </c>
      <c r="T52" s="226">
        <f>S52*'DADOS BASE'!$I$37</f>
        <v>3308.7133993195193</v>
      </c>
      <c r="U52" s="226"/>
      <c r="V52" s="226">
        <f t="shared" si="31"/>
        <v>11325.163303764995</v>
      </c>
      <c r="W52" s="228"/>
      <c r="X52" s="226"/>
      <c r="Y52" s="226"/>
      <c r="Z52" s="224"/>
      <c r="AA52" s="226"/>
      <c r="AB52" s="226"/>
      <c r="AC52" s="226"/>
      <c r="AD52" s="226"/>
      <c r="AE52" s="227">
        <v>903</v>
      </c>
      <c r="AF52" s="227">
        <v>678.88757030511999</v>
      </c>
      <c r="AG52" s="226" t="s">
        <v>155</v>
      </c>
      <c r="AH52" s="229">
        <v>0.53100000000000003</v>
      </c>
      <c r="AI52" s="225">
        <f t="shared" si="32"/>
        <v>360.48929983201873</v>
      </c>
      <c r="AJ52" s="226">
        <f t="shared" si="33"/>
        <v>-0.258060313487816</v>
      </c>
      <c r="AK52" s="226"/>
      <c r="AL52" s="226">
        <f t="shared" si="34"/>
        <v>226.04371573941637</v>
      </c>
      <c r="AM52" s="228">
        <f t="shared" si="35"/>
        <v>153458.2689610736</v>
      </c>
      <c r="AN52" s="226"/>
      <c r="AO52" s="227">
        <v>2.3312428734321999</v>
      </c>
      <c r="AP52" s="225"/>
      <c r="AQ52" s="226">
        <f t="shared" si="36"/>
        <v>1582.6518101355125</v>
      </c>
      <c r="AR52" s="226">
        <f t="shared" si="37"/>
        <v>1.6839251318717435E-3</v>
      </c>
      <c r="AS52" s="228">
        <f>AR52*'DADOS BASE'!W$38</f>
        <v>505135.05025328189</v>
      </c>
      <c r="AT52" s="225"/>
      <c r="AU52" s="227">
        <v>4.2</v>
      </c>
      <c r="AV52" s="227">
        <v>36</v>
      </c>
      <c r="AW52" s="226">
        <f t="shared" si="38"/>
        <v>1.05</v>
      </c>
      <c r="AX52" s="226">
        <f>IF($AW$11&gt;0,(AW52/$AW$11)*'DADOS BASE'!W$40,0)</f>
        <v>188.66019298262034</v>
      </c>
      <c r="AY52" s="226">
        <f t="shared" si="39"/>
        <v>2.4478050171038102</v>
      </c>
      <c r="AZ52" s="226">
        <f t="shared" si="40"/>
        <v>1.2802097462264979E-4</v>
      </c>
      <c r="BA52" s="226">
        <f>AZ52*'DADOS BASE'!W$41</f>
        <v>945.80024000892388</v>
      </c>
      <c r="BB52" s="225"/>
      <c r="BC52" s="227">
        <v>5</v>
      </c>
      <c r="BD52" s="226">
        <f>IF($BC$11&gt;0,(BC52/$BC$11)*'DADOS BASE'!W$39,0)</f>
        <v>27016.020062569944</v>
      </c>
      <c r="BE52" s="187"/>
    </row>
    <row r="53" spans="2:57" x14ac:dyDescent="0.3">
      <c r="B53" s="184" t="s">
        <v>182</v>
      </c>
      <c r="C53" s="184" t="s">
        <v>192</v>
      </c>
      <c r="D53" s="184" t="s">
        <v>94</v>
      </c>
      <c r="E53" s="184">
        <v>2009</v>
      </c>
      <c r="F53" s="185"/>
      <c r="H53" s="186">
        <f ca="1">IF(AND(E53&gt;=2018,SUMIF('DADOS BASE'!$C$101:$D$104,D53,'DADOS BASE'!$H$101:$H$104)&gt;J53),
SUMIF('DADOS BASE'!$C$101:$D$104,D53,'DADOS BASE'!$H$101:$H$104),
J53)</f>
        <v>6472187.7983153183</v>
      </c>
      <c r="J53" s="186">
        <f t="shared" si="29"/>
        <v>6472187.7983153183</v>
      </c>
      <c r="K53" s="186"/>
      <c r="L53" s="188">
        <v>6554.8334570208999</v>
      </c>
      <c r="M53" s="186">
        <f t="shared" si="30"/>
        <v>5.1137772873101027E-3</v>
      </c>
      <c r="N53" s="186">
        <f>L53*'DADOS BASE'!$I$29</f>
        <v>6454781.336176469</v>
      </c>
      <c r="O53" s="187"/>
      <c r="P53" s="188">
        <v>56.305081677444001</v>
      </c>
      <c r="Q53" s="186">
        <f>P53*'DADOS BASE'!$I$33</f>
        <v>13861.412068150217</v>
      </c>
      <c r="R53" s="186"/>
      <c r="S53" s="188">
        <v>4.5</v>
      </c>
      <c r="T53" s="186">
        <f>S53*'DADOS BASE'!$I$37</f>
        <v>3545.0500706994849</v>
      </c>
      <c r="U53" s="186"/>
      <c r="V53" s="186">
        <f t="shared" si="31"/>
        <v>17406.462138849703</v>
      </c>
      <c r="W53" s="187"/>
      <c r="X53" s="186"/>
      <c r="Y53" s="186"/>
      <c r="Z53" s="185"/>
      <c r="AA53" s="186"/>
      <c r="AB53" s="186"/>
      <c r="AC53" s="186"/>
      <c r="AD53" s="186"/>
      <c r="AE53" s="188">
        <v>4271</v>
      </c>
      <c r="AF53" s="188">
        <v>2828.1845160239</v>
      </c>
      <c r="AG53" s="186" t="s">
        <v>155</v>
      </c>
      <c r="AH53" s="189">
        <v>0.73699999999999999</v>
      </c>
      <c r="AI53" s="183">
        <f t="shared" si="32"/>
        <v>2084.3719883096142</v>
      </c>
      <c r="AJ53" s="186">
        <f t="shared" si="33"/>
        <v>1.9791263506622778E-2</v>
      </c>
      <c r="AK53" s="186"/>
      <c r="AL53" s="186">
        <f t="shared" si="34"/>
        <v>176.12035180008664</v>
      </c>
      <c r="AM53" s="187">
        <f t="shared" si="35"/>
        <v>498100.85191768705</v>
      </c>
      <c r="AN53" s="186"/>
      <c r="AO53" s="188">
        <v>1.6013888888889001</v>
      </c>
      <c r="AQ53" s="186">
        <f t="shared" si="36"/>
        <v>4529.0232596883052</v>
      </c>
      <c r="AR53" s="186">
        <f t="shared" si="37"/>
        <v>4.8188338338094787E-3</v>
      </c>
      <c r="AS53" s="187">
        <f>AR53*'DADOS BASE'!W$38</f>
        <v>1445528.5598700622</v>
      </c>
      <c r="AU53" s="188">
        <v>4.5</v>
      </c>
      <c r="AV53" s="188">
        <v>48.75</v>
      </c>
      <c r="AW53" s="186">
        <f t="shared" si="38"/>
        <v>1.125</v>
      </c>
      <c r="AX53" s="186">
        <f>IF($AW$11&gt;0,(AW53/$AW$11)*'DADOS BASE'!W$40,0)</f>
        <v>202.13592105280745</v>
      </c>
      <c r="AY53" s="186">
        <f t="shared" si="39"/>
        <v>1.8015625000000126</v>
      </c>
      <c r="AZ53" s="186">
        <f t="shared" si="40"/>
        <v>9.4222287102959184E-5</v>
      </c>
      <c r="BA53" s="186">
        <f>AZ53*'DADOS BASE'!W$41</f>
        <v>696.10047899449432</v>
      </c>
      <c r="BC53" s="188">
        <v>0</v>
      </c>
      <c r="BD53" s="186">
        <f>IF($BC$11&gt;0,(BC53/$BC$11)*'DADOS BASE'!W$39,0)</f>
        <v>0</v>
      </c>
      <c r="BE53" s="187"/>
    </row>
    <row r="54" spans="2:57" x14ac:dyDescent="0.3">
      <c r="B54" s="223" t="s">
        <v>182</v>
      </c>
      <c r="C54" s="223" t="s">
        <v>193</v>
      </c>
      <c r="D54" s="223" t="s">
        <v>94</v>
      </c>
      <c r="E54" s="223">
        <v>2009</v>
      </c>
      <c r="F54" s="224"/>
      <c r="G54" s="225"/>
      <c r="H54" s="226">
        <f ca="1">IF(AND(E54&gt;=2018,SUMIF('DADOS BASE'!$C$101:$D$104,D54,'DADOS BASE'!$H$101:$H$104)&gt;J54),
SUMIF('DADOS BASE'!$C$101:$D$104,D54,'DADOS BASE'!$H$101:$H$104),
J54)</f>
        <v>3158067.8439775244</v>
      </c>
      <c r="I54" s="225"/>
      <c r="J54" s="226">
        <f t="shared" si="29"/>
        <v>3158067.8439775244</v>
      </c>
      <c r="K54" s="226"/>
      <c r="L54" s="227">
        <v>3207.0193682979002</v>
      </c>
      <c r="M54" s="226">
        <f t="shared" si="30"/>
        <v>2.5019678856980461E-3</v>
      </c>
      <c r="N54" s="226">
        <f>L54*'DADOS BASE'!$I$29</f>
        <v>3158067.8439775244</v>
      </c>
      <c r="O54" s="228"/>
      <c r="P54" s="227">
        <v>0</v>
      </c>
      <c r="Q54" s="226">
        <f>P54*'DADOS BASE'!$I$33</f>
        <v>0</v>
      </c>
      <c r="R54" s="226"/>
      <c r="S54" s="227">
        <v>0</v>
      </c>
      <c r="T54" s="226">
        <f>S54*'DADOS BASE'!$I$37</f>
        <v>0</v>
      </c>
      <c r="U54" s="226"/>
      <c r="V54" s="226">
        <f t="shared" si="31"/>
        <v>0</v>
      </c>
      <c r="W54" s="228"/>
      <c r="X54" s="226"/>
      <c r="Y54" s="226"/>
      <c r="Z54" s="224"/>
      <c r="AA54" s="226"/>
      <c r="AB54" s="226"/>
      <c r="AC54" s="226"/>
      <c r="AD54" s="226"/>
      <c r="AE54" s="227">
        <v>1950</v>
      </c>
      <c r="AF54" s="227">
        <v>1363.8661181503001</v>
      </c>
      <c r="AG54" s="226" t="s">
        <v>155</v>
      </c>
      <c r="AH54" s="229">
        <v>0.73699999999999999</v>
      </c>
      <c r="AI54" s="225">
        <f t="shared" si="32"/>
        <v>1005.1693290767711</v>
      </c>
      <c r="AJ54" s="226">
        <f t="shared" si="33"/>
        <v>1.9791263506622778E-2</v>
      </c>
      <c r="AK54" s="226"/>
      <c r="AL54" s="226">
        <f t="shared" si="34"/>
        <v>176.12035180008664</v>
      </c>
      <c r="AM54" s="228">
        <f t="shared" si="35"/>
        <v>240204.58053684936</v>
      </c>
      <c r="AN54" s="226"/>
      <c r="AO54" s="227">
        <v>1.4671814671815</v>
      </c>
      <c r="AP54" s="225"/>
      <c r="AQ54" s="226">
        <f t="shared" si="36"/>
        <v>2001.0390922668942</v>
      </c>
      <c r="AR54" s="226">
        <f t="shared" si="37"/>
        <v>2.129084866138387E-3</v>
      </c>
      <c r="AS54" s="228">
        <f>AR54*'DADOS BASE'!W$38</f>
        <v>638671.73812821857</v>
      </c>
      <c r="AT54" s="225"/>
      <c r="AU54" s="227">
        <v>0</v>
      </c>
      <c r="AV54" s="227">
        <v>0</v>
      </c>
      <c r="AW54" s="226">
        <f t="shared" si="38"/>
        <v>0</v>
      </c>
      <c r="AX54" s="226">
        <f>IF($AW$11&gt;0,(AW54/$AW$11)*'DADOS BASE'!W$40,0)</f>
        <v>0</v>
      </c>
      <c r="AY54" s="226">
        <f t="shared" si="39"/>
        <v>0</v>
      </c>
      <c r="AZ54" s="226">
        <f t="shared" si="40"/>
        <v>0</v>
      </c>
      <c r="BA54" s="226">
        <f>AZ54*'DADOS BASE'!W$41</f>
        <v>0</v>
      </c>
      <c r="BB54" s="225"/>
      <c r="BC54" s="227">
        <v>0</v>
      </c>
      <c r="BD54" s="226">
        <f>IF($BC$11&gt;0,(BC54/$BC$11)*'DADOS BASE'!W$39,0)</f>
        <v>0</v>
      </c>
      <c r="BE54" s="187"/>
    </row>
    <row r="55" spans="2:57" x14ac:dyDescent="0.3">
      <c r="B55" s="184" t="s">
        <v>182</v>
      </c>
      <c r="C55" s="184" t="s">
        <v>194</v>
      </c>
      <c r="D55" s="184" t="s">
        <v>92</v>
      </c>
      <c r="E55" s="184">
        <v>2009</v>
      </c>
      <c r="F55" s="185"/>
      <c r="H55" s="186">
        <f ca="1">IF(AND(E55&gt;=2018,SUMIF('DADOS BASE'!$C$101:$D$104,D55,'DADOS BASE'!$H$101:$H$104)&gt;J55),
SUMIF('DADOS BASE'!$C$101:$D$104,D55,'DADOS BASE'!$H$101:$H$104),
J55)</f>
        <v>4630419.9268774213</v>
      </c>
      <c r="J55" s="186">
        <f t="shared" si="29"/>
        <v>4630419.9268774213</v>
      </c>
      <c r="K55" s="186"/>
      <c r="L55" s="188">
        <v>4694.3690382239001</v>
      </c>
      <c r="M55" s="186">
        <f t="shared" si="30"/>
        <v>3.662329168746203E-3</v>
      </c>
      <c r="N55" s="186">
        <f>L55*'DADOS BASE'!$I$29</f>
        <v>4622714.8030125303</v>
      </c>
      <c r="O55" s="187"/>
      <c r="P55" s="188">
        <v>31.298227512069001</v>
      </c>
      <c r="Q55" s="186">
        <f>P55*'DADOS BASE'!$I$33</f>
        <v>7705.1238648908875</v>
      </c>
      <c r="R55" s="186"/>
      <c r="S55" s="188">
        <v>0</v>
      </c>
      <c r="T55" s="186">
        <f>S55*'DADOS BASE'!$I$37</f>
        <v>0</v>
      </c>
      <c r="U55" s="186"/>
      <c r="V55" s="186">
        <f t="shared" si="31"/>
        <v>7705.1238648908875</v>
      </c>
      <c r="W55" s="187"/>
      <c r="X55" s="186"/>
      <c r="Y55" s="186"/>
      <c r="Z55" s="185"/>
      <c r="AA55" s="186"/>
      <c r="AB55" s="186"/>
      <c r="AC55" s="186"/>
      <c r="AD55" s="186"/>
      <c r="AE55" s="188">
        <v>1936</v>
      </c>
      <c r="AF55" s="188">
        <v>1583.6888212081999</v>
      </c>
      <c r="AG55" s="186" t="s">
        <v>155</v>
      </c>
      <c r="AH55" s="189">
        <v>0.73699999999999999</v>
      </c>
      <c r="AI55" s="183">
        <f t="shared" si="32"/>
        <v>1167.1786612304434</v>
      </c>
      <c r="AJ55" s="186">
        <f t="shared" si="33"/>
        <v>1.9791263506622778E-2</v>
      </c>
      <c r="AK55" s="186"/>
      <c r="AL55" s="186">
        <f t="shared" si="34"/>
        <v>176.12035180008664</v>
      </c>
      <c r="AM55" s="187">
        <f t="shared" si="35"/>
        <v>278919.83233305265</v>
      </c>
      <c r="AN55" s="186"/>
      <c r="AO55" s="188">
        <v>1.9891122278057001</v>
      </c>
      <c r="AQ55" s="186">
        <f t="shared" si="36"/>
        <v>3150.1347993044255</v>
      </c>
      <c r="AR55" s="186">
        <f t="shared" si="37"/>
        <v>3.3517107953633051E-3</v>
      </c>
      <c r="AS55" s="187">
        <f>AR55*'DADOS BASE'!W$38</f>
        <v>1005428.6672284568</v>
      </c>
      <c r="AU55" s="188">
        <v>0</v>
      </c>
      <c r="AV55" s="188">
        <v>23.25</v>
      </c>
      <c r="AW55" s="186">
        <f t="shared" si="38"/>
        <v>0</v>
      </c>
      <c r="AX55" s="186">
        <f>IF($AW$11&gt;0,(AW55/$AW$11)*'DADOS BASE'!W$40,0)</f>
        <v>0</v>
      </c>
      <c r="AY55" s="186">
        <f t="shared" si="39"/>
        <v>0</v>
      </c>
      <c r="AZ55" s="186">
        <f t="shared" si="40"/>
        <v>0</v>
      </c>
      <c r="BA55" s="186">
        <f>AZ55*'DADOS BASE'!W$41</f>
        <v>0</v>
      </c>
      <c r="BC55" s="188">
        <v>10</v>
      </c>
      <c r="BD55" s="186">
        <f>IF($BC$11&gt;0,(BC55/$BC$11)*'DADOS BASE'!W$39,0)</f>
        <v>54032.040125139887</v>
      </c>
      <c r="BE55" s="187"/>
    </row>
    <row r="56" spans="2:57" x14ac:dyDescent="0.3">
      <c r="B56" s="223" t="s">
        <v>182</v>
      </c>
      <c r="C56" s="223" t="s">
        <v>195</v>
      </c>
      <c r="D56" s="223" t="s">
        <v>92</v>
      </c>
      <c r="E56" s="223">
        <v>2010</v>
      </c>
      <c r="F56" s="224"/>
      <c r="G56" s="225"/>
      <c r="H56" s="226">
        <f ca="1">IF(AND(E56&gt;=2018,SUMIF('DADOS BASE'!$C$101:$D$104,D56,'DADOS BASE'!$H$101:$H$104)&gt;J56),
SUMIF('DADOS BASE'!$C$101:$D$104,D56,'DADOS BASE'!$H$101:$H$104),
J56)</f>
        <v>1336648.7469880378</v>
      </c>
      <c r="I56" s="225"/>
      <c r="J56" s="226">
        <f t="shared" si="29"/>
        <v>1336648.7469880378</v>
      </c>
      <c r="K56" s="226"/>
      <c r="L56" s="227">
        <v>1357.3674259014001</v>
      </c>
      <c r="M56" s="226">
        <f t="shared" si="30"/>
        <v>1.0589551601306272E-3</v>
      </c>
      <c r="N56" s="226">
        <f>L56*'DADOS BASE'!$I$29</f>
        <v>1336648.7469880378</v>
      </c>
      <c r="O56" s="228"/>
      <c r="P56" s="227">
        <v>0</v>
      </c>
      <c r="Q56" s="226">
        <f>P56*'DADOS BASE'!$I$33</f>
        <v>0</v>
      </c>
      <c r="R56" s="226"/>
      <c r="S56" s="227">
        <v>0</v>
      </c>
      <c r="T56" s="226">
        <f>S56*'DADOS BASE'!$I$37</f>
        <v>0</v>
      </c>
      <c r="U56" s="226"/>
      <c r="V56" s="226">
        <f t="shared" si="31"/>
        <v>0</v>
      </c>
      <c r="W56" s="228"/>
      <c r="X56" s="226"/>
      <c r="Y56" s="226"/>
      <c r="Z56" s="224"/>
      <c r="AA56" s="226"/>
      <c r="AB56" s="226"/>
      <c r="AC56" s="226"/>
      <c r="AD56" s="226"/>
      <c r="AE56" s="227">
        <v>767</v>
      </c>
      <c r="AF56" s="227">
        <v>632.41678059468995</v>
      </c>
      <c r="AG56" s="226" t="s">
        <v>155</v>
      </c>
      <c r="AH56" s="229">
        <v>0.58799999999999997</v>
      </c>
      <c r="AI56" s="225">
        <f t="shared" si="32"/>
        <v>371.86106698967768</v>
      </c>
      <c r="AJ56" s="226">
        <f t="shared" si="33"/>
        <v>-0.18117905189226746</v>
      </c>
      <c r="AK56" s="226"/>
      <c r="AL56" s="226">
        <f t="shared" si="34"/>
        <v>212.22996940668924</v>
      </c>
      <c r="AM56" s="228">
        <f t="shared" si="35"/>
        <v>134217.79399788796</v>
      </c>
      <c r="AN56" s="226"/>
      <c r="AO56" s="227">
        <v>1.5155502392344</v>
      </c>
      <c r="AP56" s="225"/>
      <c r="AQ56" s="226">
        <f t="shared" si="36"/>
        <v>958.45940312613141</v>
      </c>
      <c r="AR56" s="226">
        <f t="shared" si="37"/>
        <v>1.0197908765950793E-3</v>
      </c>
      <c r="AS56" s="228">
        <f>AR56*'DADOS BASE'!W$38</f>
        <v>305911.53130668338</v>
      </c>
      <c r="AT56" s="225"/>
      <c r="AU56" s="227">
        <v>0</v>
      </c>
      <c r="AV56" s="227">
        <v>0</v>
      </c>
      <c r="AW56" s="226">
        <f t="shared" si="38"/>
        <v>0</v>
      </c>
      <c r="AX56" s="226">
        <f>IF($AW$11&gt;0,(AW56/$AW$11)*'DADOS BASE'!W$40,0)</f>
        <v>0</v>
      </c>
      <c r="AY56" s="226">
        <f t="shared" si="39"/>
        <v>0</v>
      </c>
      <c r="AZ56" s="226">
        <f t="shared" si="40"/>
        <v>0</v>
      </c>
      <c r="BA56" s="226">
        <f>AZ56*'DADOS BASE'!W$41</f>
        <v>0</v>
      </c>
      <c r="BB56" s="225"/>
      <c r="BC56" s="227">
        <v>0</v>
      </c>
      <c r="BD56" s="226">
        <f>IF($BC$11&gt;0,(BC56/$BC$11)*'DADOS BASE'!W$39,0)</f>
        <v>0</v>
      </c>
      <c r="BE56" s="187"/>
    </row>
    <row r="57" spans="2:57" x14ac:dyDescent="0.3">
      <c r="B57" s="184" t="s">
        <v>182</v>
      </c>
      <c r="C57" s="184" t="s">
        <v>196</v>
      </c>
      <c r="D57" s="184" t="s">
        <v>92</v>
      </c>
      <c r="E57" s="184">
        <v>2010</v>
      </c>
      <c r="F57" s="185"/>
      <c r="H57" s="186">
        <f ca="1">IF(AND(E57&gt;=2018,SUMIF('DADOS BASE'!$C$101:$D$104,D57,'DADOS BASE'!$H$101:$H$104)&gt;J57),
SUMIF('DADOS BASE'!$C$101:$D$104,D57,'DADOS BASE'!$H$101:$H$104),
J57)</f>
        <v>2026273.1067164296</v>
      </c>
      <c r="J57" s="186">
        <f t="shared" si="29"/>
        <v>2026273.1067164296</v>
      </c>
      <c r="K57" s="186"/>
      <c r="L57" s="188">
        <v>2017.951897914</v>
      </c>
      <c r="M57" s="186">
        <f t="shared" si="30"/>
        <v>1.5743125512035455E-3</v>
      </c>
      <c r="N57" s="186">
        <f>L57*'DADOS BASE'!$I$29</f>
        <v>1987150.1439911625</v>
      </c>
      <c r="O57" s="187"/>
      <c r="P57" s="188">
        <v>0</v>
      </c>
      <c r="Q57" s="186">
        <f>P57*'DADOS BASE'!$I$33</f>
        <v>0</v>
      </c>
      <c r="R57" s="186"/>
      <c r="S57" s="188">
        <v>49.661733615221998</v>
      </c>
      <c r="T57" s="186">
        <f>S57*'DADOS BASE'!$I$37</f>
        <v>39122.962725267054</v>
      </c>
      <c r="U57" s="186"/>
      <c r="V57" s="186">
        <f t="shared" si="31"/>
        <v>39122.962725267054</v>
      </c>
      <c r="W57" s="187"/>
      <c r="X57" s="186"/>
      <c r="Y57" s="186"/>
      <c r="Z57" s="185"/>
      <c r="AA57" s="186"/>
      <c r="AB57" s="186"/>
      <c r="AC57" s="186"/>
      <c r="AD57" s="186"/>
      <c r="AE57" s="188">
        <v>1382</v>
      </c>
      <c r="AF57" s="188">
        <v>884.28384554361003</v>
      </c>
      <c r="AG57" s="186" t="s">
        <v>155</v>
      </c>
      <c r="AH57" s="189">
        <v>0.65800000000000003</v>
      </c>
      <c r="AI57" s="183">
        <f t="shared" si="32"/>
        <v>581.85877036769546</v>
      </c>
      <c r="AJ57" s="186">
        <f t="shared" si="33"/>
        <v>-8.6763467476681372E-2</v>
      </c>
      <c r="AK57" s="186"/>
      <c r="AL57" s="186">
        <f t="shared" si="34"/>
        <v>195.26571952439269</v>
      </c>
      <c r="AM57" s="187">
        <f t="shared" si="35"/>
        <v>172670.32136386994</v>
      </c>
      <c r="AN57" s="186"/>
      <c r="AO57" s="188">
        <v>2.2073011734029002</v>
      </c>
      <c r="AQ57" s="186">
        <f t="shared" si="36"/>
        <v>1951.8807698896394</v>
      </c>
      <c r="AR57" s="186">
        <f t="shared" si="37"/>
        <v>2.0767809203421071E-3</v>
      </c>
      <c r="AS57" s="187">
        <f>AR57*'DADOS BASE'!W$38</f>
        <v>622981.87413831451</v>
      </c>
      <c r="AU57" s="188">
        <v>24.830866807610999</v>
      </c>
      <c r="AV57" s="188">
        <v>25</v>
      </c>
      <c r="AW57" s="186">
        <f t="shared" si="38"/>
        <v>6.2077167019027497</v>
      </c>
      <c r="AX57" s="186">
        <f>IF($AW$11&gt;0,(AW57/$AW$11)*'DADOS BASE'!W$40,0)</f>
        <v>1115.3800294880077</v>
      </c>
      <c r="AY57" s="186">
        <f t="shared" si="39"/>
        <v>13.702300360262722</v>
      </c>
      <c r="AZ57" s="186">
        <f t="shared" si="40"/>
        <v>7.1663463161319486E-4</v>
      </c>
      <c r="BA57" s="186">
        <f>AZ57*'DADOS BASE'!W$41</f>
        <v>5294.3918648979688</v>
      </c>
      <c r="BC57" s="188">
        <v>0</v>
      </c>
      <c r="BD57" s="186">
        <f>IF($BC$11&gt;0,(BC57/$BC$11)*'DADOS BASE'!W$39,0)</f>
        <v>0</v>
      </c>
      <c r="BE57" s="187"/>
    </row>
    <row r="58" spans="2:57" x14ac:dyDescent="0.3">
      <c r="B58" s="223" t="s">
        <v>182</v>
      </c>
      <c r="C58" s="223" t="s">
        <v>197</v>
      </c>
      <c r="D58" s="223" t="s">
        <v>92</v>
      </c>
      <c r="E58" s="223">
        <v>2010</v>
      </c>
      <c r="F58" s="224"/>
      <c r="G58" s="225"/>
      <c r="H58" s="226">
        <f ca="1">IF(AND(E58&gt;=2018,SUMIF('DADOS BASE'!$C$101:$D$104,D58,'DADOS BASE'!$H$101:$H$104)&gt;J58),
SUMIF('DADOS BASE'!$C$101:$D$104,D58,'DADOS BASE'!$H$101:$H$104),
J58)</f>
        <v>1558446.4162157513</v>
      </c>
      <c r="I58" s="225"/>
      <c r="J58" s="226">
        <f t="shared" si="29"/>
        <v>1558446.4162157513</v>
      </c>
      <c r="K58" s="226"/>
      <c r="L58" s="227">
        <v>1571.6373838085001</v>
      </c>
      <c r="M58" s="226">
        <f t="shared" si="30"/>
        <v>1.2261186512067552E-3</v>
      </c>
      <c r="N58" s="226">
        <f>L58*'DADOS BASE'!$I$29</f>
        <v>1547648.1162734102</v>
      </c>
      <c r="O58" s="228"/>
      <c r="P58" s="227">
        <v>43.862714508579998</v>
      </c>
      <c r="Q58" s="226">
        <f>P58*'DADOS BASE'!$I$33</f>
        <v>10798.299942341169</v>
      </c>
      <c r="R58" s="226"/>
      <c r="S58" s="227">
        <v>0</v>
      </c>
      <c r="T58" s="226">
        <f>S58*'DADOS BASE'!$I$37</f>
        <v>0</v>
      </c>
      <c r="U58" s="226"/>
      <c r="V58" s="226">
        <f t="shared" si="31"/>
        <v>10798.299942341169</v>
      </c>
      <c r="W58" s="228"/>
      <c r="X58" s="226"/>
      <c r="Y58" s="226"/>
      <c r="Z58" s="224"/>
      <c r="AA58" s="226"/>
      <c r="AB58" s="226"/>
      <c r="AC58" s="226"/>
      <c r="AD58" s="226"/>
      <c r="AE58" s="227">
        <v>775</v>
      </c>
      <c r="AF58" s="227">
        <v>662.08026202932001</v>
      </c>
      <c r="AG58" s="226" t="s">
        <v>155</v>
      </c>
      <c r="AH58" s="229">
        <v>0.64700000000000002</v>
      </c>
      <c r="AI58" s="225">
        <f t="shared" si="32"/>
        <v>428.36592953297009</v>
      </c>
      <c r="AJ58" s="226">
        <f t="shared" si="33"/>
        <v>-0.10160020217055919</v>
      </c>
      <c r="AK58" s="226"/>
      <c r="AL58" s="226">
        <f t="shared" si="34"/>
        <v>197.93153022018214</v>
      </c>
      <c r="AM58" s="228">
        <f t="shared" si="35"/>
        <v>131046.55939204246</v>
      </c>
      <c r="AN58" s="226"/>
      <c r="AO58" s="227">
        <v>2.0700729927007</v>
      </c>
      <c r="AP58" s="225"/>
      <c r="AQ58" s="226">
        <f t="shared" si="36"/>
        <v>1370.5544694270982</v>
      </c>
      <c r="AR58" s="226">
        <f t="shared" si="37"/>
        <v>1.4582557583969287E-3</v>
      </c>
      <c r="AS58" s="228">
        <f>AR58*'DADOS BASE'!W$38</f>
        <v>437439.93236872408</v>
      </c>
      <c r="AT58" s="225"/>
      <c r="AU58" s="227">
        <v>0</v>
      </c>
      <c r="AV58" s="227">
        <v>35</v>
      </c>
      <c r="AW58" s="226">
        <f t="shared" si="38"/>
        <v>0</v>
      </c>
      <c r="AX58" s="226">
        <f>IF($AW$11&gt;0,(AW58/$AW$11)*'DADOS BASE'!W$40,0)</f>
        <v>0</v>
      </c>
      <c r="AY58" s="226">
        <f t="shared" si="39"/>
        <v>0</v>
      </c>
      <c r="AZ58" s="226">
        <f t="shared" si="40"/>
        <v>0</v>
      </c>
      <c r="BA58" s="226">
        <f>AZ58*'DADOS BASE'!W$41</f>
        <v>0</v>
      </c>
      <c r="BB58" s="225"/>
      <c r="BC58" s="227">
        <v>0</v>
      </c>
      <c r="BD58" s="226">
        <f>IF($BC$11&gt;0,(BC58/$BC$11)*'DADOS BASE'!W$39,0)</f>
        <v>0</v>
      </c>
      <c r="BE58" s="187"/>
    </row>
    <row r="59" spans="2:57" x14ac:dyDescent="0.3">
      <c r="B59" s="184" t="s">
        <v>182</v>
      </c>
      <c r="C59" s="184" t="s">
        <v>198</v>
      </c>
      <c r="D59" s="184" t="s">
        <v>92</v>
      </c>
      <c r="E59" s="184">
        <v>2009</v>
      </c>
      <c r="F59" s="185"/>
      <c r="H59" s="186">
        <f ca="1">IF(AND(E59&gt;=2018,SUMIF('DADOS BASE'!$C$101:$D$104,D59,'DADOS BASE'!$H$101:$H$104)&gt;J59),
SUMIF('DADOS BASE'!$C$101:$D$104,D59,'DADOS BASE'!$H$101:$H$104),
J59)</f>
        <v>1026092.2791933856</v>
      </c>
      <c r="J59" s="186">
        <f t="shared" si="29"/>
        <v>1026092.2791933856</v>
      </c>
      <c r="K59" s="186"/>
      <c r="L59" s="188">
        <v>1041.9971880305</v>
      </c>
      <c r="M59" s="186">
        <f t="shared" si="30"/>
        <v>8.1291791599738506E-4</v>
      </c>
      <c r="N59" s="186">
        <f>L59*'DADOS BASE'!$I$29</f>
        <v>1026092.2791933856</v>
      </c>
      <c r="O59" s="187"/>
      <c r="P59" s="188">
        <v>0</v>
      </c>
      <c r="Q59" s="186">
        <f>P59*'DADOS BASE'!$I$33</f>
        <v>0</v>
      </c>
      <c r="R59" s="186"/>
      <c r="S59" s="188">
        <v>0</v>
      </c>
      <c r="T59" s="186">
        <f>S59*'DADOS BASE'!$I$37</f>
        <v>0</v>
      </c>
      <c r="U59" s="186"/>
      <c r="V59" s="186">
        <f t="shared" si="31"/>
        <v>0</v>
      </c>
      <c r="W59" s="187"/>
      <c r="X59" s="186"/>
      <c r="Y59" s="186"/>
      <c r="Z59" s="185"/>
      <c r="AA59" s="186"/>
      <c r="AB59" s="186"/>
      <c r="AC59" s="186"/>
      <c r="AD59" s="186"/>
      <c r="AE59" s="188">
        <v>766</v>
      </c>
      <c r="AF59" s="188">
        <v>515.45411162488006</v>
      </c>
      <c r="AG59" s="186" t="s">
        <v>155</v>
      </c>
      <c r="AH59" s="189">
        <v>0.60899999999999999</v>
      </c>
      <c r="AI59" s="183">
        <f t="shared" si="32"/>
        <v>313.91155397955197</v>
      </c>
      <c r="AJ59" s="186">
        <f t="shared" si="33"/>
        <v>-0.15285437656759163</v>
      </c>
      <c r="AK59" s="186"/>
      <c r="AL59" s="186">
        <f t="shared" si="34"/>
        <v>207.14069444200027</v>
      </c>
      <c r="AM59" s="187">
        <f t="shared" si="35"/>
        <v>106771.52263496198</v>
      </c>
      <c r="AN59" s="186"/>
      <c r="AO59" s="188">
        <v>1.8353293413174001</v>
      </c>
      <c r="AQ59" s="186">
        <f t="shared" si="36"/>
        <v>946.02805516783678</v>
      </c>
      <c r="AR59" s="186">
        <f t="shared" si="37"/>
        <v>1.0065640511392501E-3</v>
      </c>
      <c r="AS59" s="187">
        <f>AR59*'DADOS BASE'!W$38</f>
        <v>301943.81741319504</v>
      </c>
      <c r="AU59" s="188">
        <v>0</v>
      </c>
      <c r="AV59" s="188">
        <v>0</v>
      </c>
      <c r="AW59" s="186">
        <f t="shared" si="38"/>
        <v>0</v>
      </c>
      <c r="AX59" s="186">
        <f>IF($AW$11&gt;0,(AW59/$AW$11)*'DADOS BASE'!W$40,0)</f>
        <v>0</v>
      </c>
      <c r="AY59" s="186">
        <f t="shared" si="39"/>
        <v>0</v>
      </c>
      <c r="AZ59" s="186">
        <f t="shared" si="40"/>
        <v>0</v>
      </c>
      <c r="BA59" s="186">
        <f>AZ59*'DADOS BASE'!W$41</f>
        <v>0</v>
      </c>
      <c r="BC59" s="188">
        <v>20</v>
      </c>
      <c r="BD59" s="186">
        <f>IF($BC$11&gt;0,(BC59/$BC$11)*'DADOS BASE'!W$39,0)</f>
        <v>108064.08025027977</v>
      </c>
      <c r="BE59" s="187"/>
    </row>
    <row r="60" spans="2:57" x14ac:dyDescent="0.3">
      <c r="B60" s="223" t="s">
        <v>182</v>
      </c>
      <c r="C60" s="223" t="s">
        <v>199</v>
      </c>
      <c r="D60" s="223" t="s">
        <v>92</v>
      </c>
      <c r="E60" s="223">
        <v>2010</v>
      </c>
      <c r="F60" s="224"/>
      <c r="G60" s="225"/>
      <c r="H60" s="226">
        <f ca="1">IF(AND(E60&gt;=2018,SUMIF('DADOS BASE'!$C$101:$D$104,D60,'DADOS BASE'!$H$101:$H$104)&gt;J60),
SUMIF('DADOS BASE'!$C$101:$D$104,D60,'DADOS BASE'!$H$101:$H$104),
J60)</f>
        <v>1294217.5464483411</v>
      </c>
      <c r="I60" s="225"/>
      <c r="J60" s="226">
        <f t="shared" si="29"/>
        <v>1294217.5464483411</v>
      </c>
      <c r="K60" s="226"/>
      <c r="L60" s="227">
        <v>1314.2785219658999</v>
      </c>
      <c r="M60" s="226">
        <f t="shared" si="30"/>
        <v>1.025339194183478E-3</v>
      </c>
      <c r="N60" s="226">
        <f>L60*'DADOS BASE'!$I$29</f>
        <v>1294217.5464483411</v>
      </c>
      <c r="O60" s="228"/>
      <c r="P60" s="227">
        <v>0</v>
      </c>
      <c r="Q60" s="226">
        <f>P60*'DADOS BASE'!$I$33</f>
        <v>0</v>
      </c>
      <c r="R60" s="226"/>
      <c r="S60" s="227">
        <v>0</v>
      </c>
      <c r="T60" s="226">
        <f>S60*'DADOS BASE'!$I$37</f>
        <v>0</v>
      </c>
      <c r="U60" s="226"/>
      <c r="V60" s="226">
        <f t="shared" si="31"/>
        <v>0</v>
      </c>
      <c r="W60" s="228"/>
      <c r="X60" s="226"/>
      <c r="Y60" s="226"/>
      <c r="Z60" s="224"/>
      <c r="AA60" s="226"/>
      <c r="AB60" s="226"/>
      <c r="AC60" s="226"/>
      <c r="AD60" s="226"/>
      <c r="AE60" s="227">
        <v>848</v>
      </c>
      <c r="AF60" s="227">
        <v>619.31360713754998</v>
      </c>
      <c r="AG60" s="226" t="s">
        <v>155</v>
      </c>
      <c r="AH60" s="229">
        <v>0.61599999999999999</v>
      </c>
      <c r="AI60" s="225">
        <f t="shared" si="32"/>
        <v>381.49718199673077</v>
      </c>
      <c r="AJ60" s="226">
        <f t="shared" si="33"/>
        <v>-0.14341281812603301</v>
      </c>
      <c r="AK60" s="226"/>
      <c r="AL60" s="226">
        <f t="shared" si="34"/>
        <v>205.4442694537706</v>
      </c>
      <c r="AM60" s="228">
        <f t="shared" si="35"/>
        <v>127234.43158115345</v>
      </c>
      <c r="AN60" s="226"/>
      <c r="AO60" s="227">
        <v>1.74</v>
      </c>
      <c r="AP60" s="225"/>
      <c r="AQ60" s="226">
        <f t="shared" si="36"/>
        <v>1077.605676419337</v>
      </c>
      <c r="AR60" s="226">
        <f t="shared" si="37"/>
        <v>1.1465612771862927E-3</v>
      </c>
      <c r="AS60" s="228">
        <f>AR60*'DADOS BASE'!W$38</f>
        <v>343939.45277495717</v>
      </c>
      <c r="AT60" s="225"/>
      <c r="AU60" s="227">
        <v>0</v>
      </c>
      <c r="AV60" s="227">
        <v>0</v>
      </c>
      <c r="AW60" s="226">
        <f t="shared" si="38"/>
        <v>0</v>
      </c>
      <c r="AX60" s="226">
        <f>IF($AW$11&gt;0,(AW60/$AW$11)*'DADOS BASE'!W$40,0)</f>
        <v>0</v>
      </c>
      <c r="AY60" s="226">
        <f t="shared" si="39"/>
        <v>0</v>
      </c>
      <c r="AZ60" s="226">
        <f t="shared" si="40"/>
        <v>0</v>
      </c>
      <c r="BA60" s="226">
        <f>AZ60*'DADOS BASE'!W$41</f>
        <v>0</v>
      </c>
      <c r="BB60" s="225"/>
      <c r="BC60" s="227">
        <v>0</v>
      </c>
      <c r="BD60" s="226">
        <f>IF($BC$11&gt;0,(BC60/$BC$11)*'DADOS BASE'!W$39,0)</f>
        <v>0</v>
      </c>
      <c r="BE60" s="187"/>
    </row>
    <row r="61" spans="2:57" x14ac:dyDescent="0.3">
      <c r="B61" s="184" t="s">
        <v>182</v>
      </c>
      <c r="C61" s="184" t="s">
        <v>200</v>
      </c>
      <c r="D61" s="184" t="s">
        <v>92</v>
      </c>
      <c r="E61" s="184">
        <v>2016</v>
      </c>
      <c r="F61" s="185"/>
      <c r="H61" s="186">
        <f ca="1">IF(AND(E61&gt;=2018,SUMIF('DADOS BASE'!$C$101:$D$104,D61,'DADOS BASE'!$H$101:$H$104)&gt;J61),
SUMIF('DADOS BASE'!$C$101:$D$104,D61,'DADOS BASE'!$H$101:$H$104),
J61)</f>
        <v>1156615.6828000259</v>
      </c>
      <c r="J61" s="186">
        <f t="shared" si="29"/>
        <v>1156615.6828000259</v>
      </c>
      <c r="K61" s="186"/>
      <c r="L61" s="188">
        <v>1164.4484241632999</v>
      </c>
      <c r="M61" s="186">
        <f t="shared" si="30"/>
        <v>9.0844869557321802E-4</v>
      </c>
      <c r="N61" s="186">
        <f>L61*'DADOS BASE'!$I$29</f>
        <v>1146674.4356683362</v>
      </c>
      <c r="O61" s="187"/>
      <c r="P61" s="188">
        <v>26.941364392996</v>
      </c>
      <c r="Q61" s="186">
        <f>P61*'DADOS BASE'!$I$33</f>
        <v>6632.5337323702124</v>
      </c>
      <c r="R61" s="186"/>
      <c r="S61" s="188">
        <v>4.2</v>
      </c>
      <c r="T61" s="186">
        <f>S61*'DADOS BASE'!$I$37</f>
        <v>3308.7133993195193</v>
      </c>
      <c r="U61" s="186"/>
      <c r="V61" s="186">
        <f t="shared" si="31"/>
        <v>9941.2471316897318</v>
      </c>
      <c r="W61" s="187"/>
      <c r="X61" s="186"/>
      <c r="Y61" s="186"/>
      <c r="Z61" s="185"/>
      <c r="AA61" s="186"/>
      <c r="AB61" s="186"/>
      <c r="AC61" s="186"/>
      <c r="AD61" s="186"/>
      <c r="AE61" s="188">
        <v>677</v>
      </c>
      <c r="AF61" s="188">
        <v>487.72555165620997</v>
      </c>
      <c r="AG61" s="186" t="s">
        <v>155</v>
      </c>
      <c r="AH61" s="189">
        <v>0.63900000000000001</v>
      </c>
      <c r="AI61" s="183">
        <f t="shared" si="32"/>
        <v>311.65662750831819</v>
      </c>
      <c r="AJ61" s="186">
        <f t="shared" si="33"/>
        <v>-0.1123905546751976</v>
      </c>
      <c r="AK61" s="186"/>
      <c r="AL61" s="186">
        <f t="shared" si="34"/>
        <v>199.87030163530176</v>
      </c>
      <c r="AM61" s="187">
        <f t="shared" si="35"/>
        <v>97481.853124770641</v>
      </c>
      <c r="AN61" s="186"/>
      <c r="AO61" s="188">
        <v>1.7465753424657999</v>
      </c>
      <c r="AQ61" s="186">
        <f t="shared" si="36"/>
        <v>851.8494224132661</v>
      </c>
      <c r="AR61" s="186">
        <f t="shared" si="37"/>
        <v>9.0635896145046884E-4</v>
      </c>
      <c r="AS61" s="187">
        <f>AR61*'DADOS BASE'!W$38</f>
        <v>271884.81891169131</v>
      </c>
      <c r="AU61" s="188">
        <v>4.2</v>
      </c>
      <c r="AV61" s="188">
        <v>19.25</v>
      </c>
      <c r="AW61" s="186">
        <f t="shared" si="38"/>
        <v>1.05</v>
      </c>
      <c r="AX61" s="186">
        <f>IF($AW$11&gt;0,(AW61/$AW$11)*'DADOS BASE'!W$40,0)</f>
        <v>188.66019298262034</v>
      </c>
      <c r="AY61" s="186">
        <f t="shared" si="39"/>
        <v>1.83390410958909</v>
      </c>
      <c r="AZ61" s="186">
        <f t="shared" si="40"/>
        <v>9.5913763487527501E-5</v>
      </c>
      <c r="BA61" s="186">
        <f>AZ61*'DADOS BASE'!W$41</f>
        <v>708.59685917914499</v>
      </c>
      <c r="BC61" s="188">
        <v>0</v>
      </c>
      <c r="BD61" s="186">
        <f>IF($BC$11&gt;0,(BC61/$BC$11)*'DADOS BASE'!W$39,0)</f>
        <v>0</v>
      </c>
      <c r="BE61" s="187"/>
    </row>
    <row r="62" spans="2:57" x14ac:dyDescent="0.3">
      <c r="F62" s="185"/>
      <c r="H62" s="186"/>
      <c r="J62" s="186"/>
      <c r="K62" s="186"/>
      <c r="L62" s="186"/>
      <c r="M62" s="186"/>
      <c r="N62" s="186"/>
      <c r="O62" s="187"/>
      <c r="P62" s="186"/>
      <c r="Q62" s="186"/>
      <c r="R62" s="186"/>
      <c r="S62" s="186"/>
      <c r="T62" s="186"/>
      <c r="U62" s="186"/>
      <c r="V62" s="186"/>
      <c r="W62" s="187"/>
      <c r="X62" s="186"/>
      <c r="Y62" s="186"/>
      <c r="Z62" s="185"/>
      <c r="AA62" s="186"/>
      <c r="AB62" s="186"/>
      <c r="AC62" s="186"/>
      <c r="AD62" s="186"/>
      <c r="AE62" s="186"/>
      <c r="AF62" s="186"/>
      <c r="AG62" s="186"/>
      <c r="AH62" s="185"/>
      <c r="AJ62" s="186"/>
      <c r="AK62" s="186"/>
      <c r="AL62" s="186"/>
      <c r="AM62" s="187"/>
      <c r="AN62" s="186"/>
      <c r="AO62" s="186"/>
      <c r="AQ62" s="186"/>
      <c r="AR62" s="186"/>
      <c r="AS62" s="187"/>
      <c r="AU62" s="186"/>
      <c r="AV62" s="186"/>
      <c r="AW62" s="186"/>
      <c r="AX62" s="186"/>
      <c r="AY62" s="186"/>
      <c r="AZ62" s="186"/>
      <c r="BA62" s="186"/>
      <c r="BC62" s="186"/>
      <c r="BD62" s="186"/>
      <c r="BE62" s="187"/>
    </row>
    <row r="63" spans="2:57" x14ac:dyDescent="0.3">
      <c r="B63" s="209" t="s">
        <v>201</v>
      </c>
      <c r="C63" s="209" t="s">
        <v>202</v>
      </c>
      <c r="D63" s="211" t="s">
        <v>154</v>
      </c>
      <c r="E63" s="211"/>
      <c r="F63" s="210"/>
      <c r="G63" s="211"/>
      <c r="H63" s="212">
        <f ca="1">SUM(H64:H70)</f>
        <v>9044698.9740545768</v>
      </c>
      <c r="I63" s="211"/>
      <c r="J63" s="212">
        <f>SUM(J64:J70)</f>
        <v>9044698.9740545768</v>
      </c>
      <c r="K63" s="212"/>
      <c r="L63" s="212">
        <f>SUM(L64:L70)</f>
        <v>8747.9405456247205</v>
      </c>
      <c r="M63" s="212">
        <f>SUM(M64:M70)</f>
        <v>6.8247378009336068E-3</v>
      </c>
      <c r="N63" s="212">
        <f>SUM(N64:N70)</f>
        <v>8614413.1249282807</v>
      </c>
      <c r="O63" s="214"/>
      <c r="P63" s="212">
        <f>SUM(P64:P70)</f>
        <v>758.24975522487694</v>
      </c>
      <c r="Q63" s="212">
        <f>SUM(Q64:Q70)</f>
        <v>186668.98252554284</v>
      </c>
      <c r="R63" s="212"/>
      <c r="S63" s="212">
        <f>SUM(S64:S70)</f>
        <v>309.24130205221098</v>
      </c>
      <c r="T63" s="212">
        <f>SUM(T64:T70)</f>
        <v>243616.86660075365</v>
      </c>
      <c r="U63" s="212"/>
      <c r="V63" s="212">
        <f>SUM(V64:V70)</f>
        <v>430285.84912629658</v>
      </c>
      <c r="W63" s="214"/>
      <c r="X63" s="212">
        <f>SUMIF(INDICADORES!$D$13:$D$53,C63,INDICADORES!$L$13:$L$53)</f>
        <v>7.4869851547984768E-3</v>
      </c>
      <c r="Y63" s="212">
        <f>X63*'DADOS BASE'!$I$79</f>
        <v>310883.70576205367</v>
      </c>
      <c r="Z63" s="210">
        <f>SUMIF(INDICADORES!$D$13:$D$53,C63,INDICADORES!$R$13:$R$53)</f>
        <v>1.0722677517336236E-2</v>
      </c>
      <c r="AA63" s="212">
        <f>Z63*'DADOS BASE'!$I$84</f>
        <v>445240.0603658834</v>
      </c>
      <c r="AB63" s="212">
        <f>SUMIF(INDICADORES!$D$13:$D$53,C63,INDICADORES!$Z$13:$Z$53)</f>
        <v>2.2713489021613784E-2</v>
      </c>
      <c r="AC63" s="212">
        <f>AB63*'DADOS BASE'!$I$89</f>
        <v>1886274.2457287749</v>
      </c>
      <c r="AD63" s="212"/>
      <c r="AE63" s="212">
        <f>SUM(AE64:AE70)</f>
        <v>5053</v>
      </c>
      <c r="AF63" s="212">
        <f>SUM(AF64:AF70)</f>
        <v>4025.9713819750641</v>
      </c>
      <c r="AG63" s="212" t="s">
        <v>155</v>
      </c>
      <c r="AH63" s="210"/>
      <c r="AI63" s="211"/>
      <c r="AJ63" s="212"/>
      <c r="AK63" s="212"/>
      <c r="AL63" s="212"/>
      <c r="AM63" s="214">
        <f>SUM(AM64:AM70)</f>
        <v>749195.82082740602</v>
      </c>
      <c r="AN63" s="212"/>
      <c r="AO63" s="212"/>
      <c r="AP63" s="211"/>
      <c r="AQ63" s="212">
        <f>SUM(AQ64:AQ70)</f>
        <v>3888.4780878494726</v>
      </c>
      <c r="AR63" s="212"/>
      <c r="AS63" s="214">
        <f>SUM(AS64:AS70)</f>
        <v>1241085.7282287797</v>
      </c>
      <c r="AT63" s="211"/>
      <c r="AU63" s="212">
        <f t="shared" ref="AU63:BA63" si="41">SUM(AU64:AU70)</f>
        <v>189.91126139713703</v>
      </c>
      <c r="AV63" s="212">
        <f t="shared" si="41"/>
        <v>276.25</v>
      </c>
      <c r="AW63" s="212">
        <f t="shared" si="41"/>
        <v>47.477815349284256</v>
      </c>
      <c r="AX63" s="212">
        <f t="shared" si="41"/>
        <v>8530.6417201801687</v>
      </c>
      <c r="AY63" s="212">
        <f t="shared" si="41"/>
        <v>73.608868025435768</v>
      </c>
      <c r="AZ63" s="212">
        <f t="shared" si="41"/>
        <v>3.849767019693401E-3</v>
      </c>
      <c r="BA63" s="212">
        <f t="shared" si="41"/>
        <v>28441.515790181023</v>
      </c>
      <c r="BB63" s="211"/>
      <c r="BC63" s="212">
        <f>SUM(BC64:BC70)</f>
        <v>0</v>
      </c>
      <c r="BD63" s="212">
        <f>SUM(BD64:BD70)</f>
        <v>0</v>
      </c>
      <c r="BE63" s="187"/>
    </row>
    <row r="64" spans="2:57" x14ac:dyDescent="0.3">
      <c r="B64" s="216" t="s">
        <v>201</v>
      </c>
      <c r="C64" s="218" t="s">
        <v>156</v>
      </c>
      <c r="D64" s="218" t="s">
        <v>157</v>
      </c>
      <c r="E64" s="218"/>
      <c r="F64" s="217"/>
      <c r="G64" s="218"/>
      <c r="H64" s="219"/>
      <c r="I64" s="218"/>
      <c r="J64" s="219"/>
      <c r="K64" s="219"/>
      <c r="L64" s="219">
        <v>0</v>
      </c>
      <c r="M64" s="219">
        <v>0</v>
      </c>
      <c r="N64" s="219">
        <v>0</v>
      </c>
      <c r="O64" s="221"/>
      <c r="P64" s="219"/>
      <c r="Q64" s="219"/>
      <c r="R64" s="219"/>
      <c r="S64" s="219"/>
      <c r="T64" s="219"/>
      <c r="U64" s="219"/>
      <c r="V64" s="219"/>
      <c r="W64" s="221"/>
      <c r="X64" s="219"/>
      <c r="Y64" s="219"/>
      <c r="Z64" s="217"/>
      <c r="AA64" s="219"/>
      <c r="AB64" s="219"/>
      <c r="AC64" s="219"/>
      <c r="AD64" s="219"/>
      <c r="AE64" s="219"/>
      <c r="AF64" s="219"/>
      <c r="AG64" s="219" t="s">
        <v>155</v>
      </c>
      <c r="AH64" s="217"/>
      <c r="AI64" s="218"/>
      <c r="AJ64" s="219"/>
      <c r="AK64" s="219"/>
      <c r="AL64" s="219"/>
      <c r="AM64" s="221"/>
      <c r="AN64" s="219"/>
      <c r="AO64" s="219"/>
      <c r="AP64" s="218"/>
      <c r="AQ64" s="219"/>
      <c r="AR64" s="219"/>
      <c r="AS64" s="221"/>
      <c r="AT64" s="218"/>
      <c r="AU64" s="219"/>
      <c r="AV64" s="219"/>
      <c r="AW64" s="219"/>
      <c r="AX64" s="219"/>
      <c r="AY64" s="219"/>
      <c r="AZ64" s="219"/>
      <c r="BA64" s="219"/>
      <c r="BB64" s="218"/>
      <c r="BC64" s="219"/>
      <c r="BD64" s="219"/>
      <c r="BE64" s="187"/>
    </row>
    <row r="65" spans="2:57" x14ac:dyDescent="0.3">
      <c r="B65" s="184" t="s">
        <v>201</v>
      </c>
      <c r="C65" s="184" t="s">
        <v>203</v>
      </c>
      <c r="D65" s="184" t="s">
        <v>96</v>
      </c>
      <c r="E65" s="184">
        <v>2016</v>
      </c>
      <c r="F65" s="185"/>
      <c r="H65" s="186">
        <f ca="1">IF(AND(E65&gt;=2018,SUMIF('DADOS BASE'!$C$101:$D$104,D65,'DADOS BASE'!$H$101:$H$104)&gt;J65),
SUMIF('DADOS BASE'!$C$101:$D$104,D65,'DADOS BASE'!$H$101:$H$104),
J65)</f>
        <v>169213.57188660084</v>
      </c>
      <c r="J65" s="186">
        <f t="shared" ref="J65:J70" si="42">N65+Q65+T65</f>
        <v>169213.57188660084</v>
      </c>
      <c r="K65" s="186"/>
      <c r="L65" s="188">
        <v>56.706880271301003</v>
      </c>
      <c r="M65" s="186">
        <f t="shared" ref="M65:M70" si="43">L65/$L$11</f>
        <v>4.424007997563802E-5</v>
      </c>
      <c r="N65" s="186">
        <f>L65*'DADOS BASE'!$I$29</f>
        <v>55841.313865256343</v>
      </c>
      <c r="O65" s="187"/>
      <c r="P65" s="188">
        <v>13.471579218106999</v>
      </c>
      <c r="Q65" s="186">
        <f>P65*'DADOS BASE'!$I$33</f>
        <v>3316.487698582217</v>
      </c>
      <c r="R65" s="186"/>
      <c r="S65" s="188">
        <v>139.70210760795001</v>
      </c>
      <c r="T65" s="186">
        <f>S65*'DADOS BASE'!$I$37</f>
        <v>110055.77032276227</v>
      </c>
      <c r="U65" s="186"/>
      <c r="V65" s="186">
        <f t="shared" ref="V65:V70" si="44">T65+Q65</f>
        <v>113372.25802134449</v>
      </c>
      <c r="W65" s="187"/>
      <c r="X65" s="186"/>
      <c r="Y65" s="186"/>
      <c r="Z65" s="185"/>
      <c r="AA65" s="186"/>
      <c r="AB65" s="186"/>
      <c r="AC65" s="186"/>
      <c r="AD65" s="186"/>
      <c r="AE65" s="188">
        <v>229</v>
      </c>
      <c r="AF65" s="188">
        <v>52.748733303294003</v>
      </c>
      <c r="AG65" s="186" t="s">
        <v>155</v>
      </c>
      <c r="AH65" s="189">
        <v>0.65800000000000003</v>
      </c>
      <c r="AI65" s="183">
        <f t="shared" ref="AI65:AI70" si="45">AF65*AH65</f>
        <v>34.708666513567458</v>
      </c>
      <c r="AJ65" s="186">
        <f t="shared" ref="AJ65:AJ70" si="46">(AH65-$AI$12)*$AJ$12</f>
        <v>-8.6763467476681372E-2</v>
      </c>
      <c r="AK65" s="186"/>
      <c r="AL65" s="186">
        <f t="shared" ref="AL65:AL70" si="47">$AL$11-(AJ65*$AL$11)</f>
        <v>195.26571952439269</v>
      </c>
      <c r="AM65" s="187">
        <f t="shared" ref="AM65:AM70" si="48">AF65*AL65</f>
        <v>10300.019362468</v>
      </c>
      <c r="AN65" s="186"/>
      <c r="AO65" s="188">
        <v>1.4624277456646999</v>
      </c>
      <c r="AQ65" s="186">
        <f t="shared" ref="AQ65:AQ70" si="49">AF65*AO65</f>
        <v>77.141211131404731</v>
      </c>
      <c r="AR65" s="186">
        <f t="shared" ref="AR65:AR70" si="50">AQ65/$AQ$11</f>
        <v>8.2077449566164657E-5</v>
      </c>
      <c r="AS65" s="187">
        <f>AR65*'DADOS BASE'!W$38</f>
        <v>24621.1638668171</v>
      </c>
      <c r="AU65" s="188">
        <v>72.155843043179999</v>
      </c>
      <c r="AV65" s="188">
        <v>50.75</v>
      </c>
      <c r="AW65" s="186">
        <f t="shared" ref="AW65:AW70" si="51">AU65/4</f>
        <v>18.038960760795</v>
      </c>
      <c r="AX65" s="186">
        <f>IF($AW$11&gt;0,(AW65/$AW$11)*'DADOS BASE'!W$40,0)</f>
        <v>3241.1750650833328</v>
      </c>
      <c r="AY65" s="186">
        <f t="shared" ref="AY65:AY70" si="52">AO65*AW65</f>
        <v>26.380676719543413</v>
      </c>
      <c r="AZ65" s="186">
        <f t="shared" ref="AZ65:AZ70" si="53">IF($AY$11&gt;0,AY65/$AY$11,0)</f>
        <v>1.3797177149497471E-3</v>
      </c>
      <c r="BA65" s="186">
        <f>AZ65*'DADOS BASE'!W$41</f>
        <v>10193.152721969373</v>
      </c>
      <c r="BC65" s="188">
        <v>0</v>
      </c>
      <c r="BD65" s="186">
        <f>IF($BC$11&gt;0,(BC65/$BC$11)*'DADOS BASE'!W$39,0)</f>
        <v>0</v>
      </c>
      <c r="BE65" s="187"/>
    </row>
    <row r="66" spans="2:57" x14ac:dyDescent="0.3">
      <c r="B66" s="223" t="s">
        <v>201</v>
      </c>
      <c r="C66" s="223" t="s">
        <v>204</v>
      </c>
      <c r="D66" s="223" t="s">
        <v>94</v>
      </c>
      <c r="E66" s="223">
        <v>2010</v>
      </c>
      <c r="F66" s="224"/>
      <c r="G66" s="225"/>
      <c r="H66" s="226">
        <f ca="1">IF(AND(E66&gt;=2018,SUMIF('DADOS BASE'!$C$101:$D$104,D66,'DADOS BASE'!$H$101:$H$104)&gt;J66),
SUMIF('DADOS BASE'!$C$101:$D$104,D66,'DADOS BASE'!$H$101:$H$104),
J66)</f>
        <v>2298072.3965023505</v>
      </c>
      <c r="I66" s="225"/>
      <c r="J66" s="226">
        <f t="shared" si="42"/>
        <v>2298072.3965023505</v>
      </c>
      <c r="K66" s="226"/>
      <c r="L66" s="227">
        <v>2241.7081927723998</v>
      </c>
      <c r="M66" s="226">
        <f t="shared" si="43"/>
        <v>1.7488768427362234E-3</v>
      </c>
      <c r="N66" s="226">
        <f>L66*'DADOS BASE'!$I$29</f>
        <v>2207491.0520209474</v>
      </c>
      <c r="O66" s="228"/>
      <c r="P66" s="227">
        <v>136.88994936824</v>
      </c>
      <c r="Q66" s="226">
        <f>P66*'DADOS BASE'!$I$33</f>
        <v>33700.119769856115</v>
      </c>
      <c r="R66" s="226"/>
      <c r="S66" s="227">
        <v>72.203637775828</v>
      </c>
      <c r="T66" s="226">
        <f>S66*'DADOS BASE'!$I$37</f>
        <v>56881.224711546456</v>
      </c>
      <c r="U66" s="226"/>
      <c r="V66" s="226">
        <f t="shared" si="44"/>
        <v>90581.344481402572</v>
      </c>
      <c r="W66" s="228"/>
      <c r="X66" s="226"/>
      <c r="Y66" s="226"/>
      <c r="Z66" s="224"/>
      <c r="AA66" s="226"/>
      <c r="AB66" s="226"/>
      <c r="AC66" s="226"/>
      <c r="AD66" s="226"/>
      <c r="AE66" s="227">
        <v>1442</v>
      </c>
      <c r="AF66" s="227">
        <v>1176.8169766429</v>
      </c>
      <c r="AG66" s="226" t="s">
        <v>155</v>
      </c>
      <c r="AH66" s="229">
        <v>0.66500000000000004</v>
      </c>
      <c r="AI66" s="225">
        <f t="shared" si="45"/>
        <v>782.58328946752852</v>
      </c>
      <c r="AJ66" s="226">
        <f t="shared" si="46"/>
        <v>-7.732190903512276E-2</v>
      </c>
      <c r="AK66" s="226"/>
      <c r="AL66" s="226">
        <f t="shared" si="47"/>
        <v>193.56929453616306</v>
      </c>
      <c r="AM66" s="228">
        <f t="shared" si="48"/>
        <v>227795.63196694644</v>
      </c>
      <c r="AN66" s="226"/>
      <c r="AO66" s="227">
        <v>1.4371980676328999</v>
      </c>
      <c r="AP66" s="225"/>
      <c r="AQ66" s="226">
        <f t="shared" si="49"/>
        <v>1691.3190847887674</v>
      </c>
      <c r="AR66" s="226">
        <f t="shared" si="50"/>
        <v>1.7995459864581717E-3</v>
      </c>
      <c r="AS66" s="228">
        <f>AR66*'DADOS BASE'!W$38</f>
        <v>539818.38924883713</v>
      </c>
      <c r="AT66" s="225"/>
      <c r="AU66" s="227">
        <v>52.020220668613</v>
      </c>
      <c r="AV66" s="227">
        <v>62.25</v>
      </c>
      <c r="AW66" s="226">
        <f t="shared" si="51"/>
        <v>13.00505516715325</v>
      </c>
      <c r="AX66" s="226">
        <f>IF($AW$11&gt;0,(AW66/$AW$11)*'DADOS BASE'!W$40,0)</f>
        <v>2336.701159604529</v>
      </c>
      <c r="AY66" s="226">
        <f t="shared" si="52"/>
        <v>18.690840155691912</v>
      </c>
      <c r="AZ66" s="226">
        <f t="shared" si="53"/>
        <v>9.7753683668765838E-4</v>
      </c>
      <c r="BA66" s="226">
        <f>AZ66*'DADOS BASE'!W$41</f>
        <v>7221.8992042666187</v>
      </c>
      <c r="BB66" s="225"/>
      <c r="BC66" s="227">
        <v>0</v>
      </c>
      <c r="BD66" s="226">
        <f>IF($BC$11&gt;0,(BC66/$BC$11)*'DADOS BASE'!W$39,0)</f>
        <v>0</v>
      </c>
      <c r="BE66" s="187"/>
    </row>
    <row r="67" spans="2:57" x14ac:dyDescent="0.3">
      <c r="B67" s="184" t="s">
        <v>201</v>
      </c>
      <c r="C67" s="184" t="s">
        <v>205</v>
      </c>
      <c r="D67" s="184" t="s">
        <v>94</v>
      </c>
      <c r="E67" s="184">
        <v>2010</v>
      </c>
      <c r="F67" s="185"/>
      <c r="H67" s="186">
        <f ca="1">IF(AND(E67&gt;=2018,SUMIF('DADOS BASE'!$C$101:$D$104,D67,'DADOS BASE'!$H$101:$H$104)&gt;J67),
SUMIF('DADOS BASE'!$C$101:$D$104,D67,'DADOS BASE'!$H$101:$H$104),
J67)</f>
        <v>4274361.6733734319</v>
      </c>
      <c r="J67" s="186">
        <f t="shared" si="42"/>
        <v>4274361.6733734319</v>
      </c>
      <c r="K67" s="186"/>
      <c r="L67" s="188">
        <v>4300.0441066200001</v>
      </c>
      <c r="M67" s="186">
        <f t="shared" si="43"/>
        <v>3.3546951316226104E-3</v>
      </c>
      <c r="N67" s="186">
        <f>L67*'DADOS BASE'!$I$29</f>
        <v>4234408.7956067044</v>
      </c>
      <c r="O67" s="187"/>
      <c r="P67" s="188">
        <v>155.24866401521999</v>
      </c>
      <c r="Q67" s="186">
        <f>P67*'DADOS BASE'!$I$33</f>
        <v>38219.742176608066</v>
      </c>
      <c r="R67" s="186"/>
      <c r="S67" s="188">
        <v>2.2000000000000002</v>
      </c>
      <c r="T67" s="186">
        <f>S67*'DADOS BASE'!$I$37</f>
        <v>1733.1355901197483</v>
      </c>
      <c r="U67" s="186"/>
      <c r="V67" s="186">
        <f t="shared" si="44"/>
        <v>39952.877766727812</v>
      </c>
      <c r="W67" s="187"/>
      <c r="X67" s="186"/>
      <c r="Y67" s="186"/>
      <c r="Z67" s="185"/>
      <c r="AA67" s="186"/>
      <c r="AB67" s="186"/>
      <c r="AC67" s="186"/>
      <c r="AD67" s="186"/>
      <c r="AE67" s="188">
        <v>2241</v>
      </c>
      <c r="AF67" s="188">
        <v>1828.6654734783001</v>
      </c>
      <c r="AG67" s="186" t="s">
        <v>155</v>
      </c>
      <c r="AH67" s="189">
        <v>0.73299999999999998</v>
      </c>
      <c r="AI67" s="183">
        <f t="shared" si="45"/>
        <v>1340.4117920595938</v>
      </c>
      <c r="AJ67" s="186">
        <f t="shared" si="46"/>
        <v>1.4396087254303573E-2</v>
      </c>
      <c r="AK67" s="186"/>
      <c r="AL67" s="186">
        <f t="shared" si="47"/>
        <v>177.08973750764645</v>
      </c>
      <c r="AM67" s="187">
        <f t="shared" si="48"/>
        <v>323837.88868756819</v>
      </c>
      <c r="AN67" s="186"/>
      <c r="AO67" s="188">
        <v>0.24560260586318999</v>
      </c>
      <c r="AQ67" s="186">
        <f t="shared" si="49"/>
        <v>449.12500553831467</v>
      </c>
      <c r="AR67" s="186">
        <f t="shared" si="50"/>
        <v>4.7786435357076266E-4</v>
      </c>
      <c r="AS67" s="187">
        <f>AR67*'DADOS BASE'!W$38</f>
        <v>143347.24845332641</v>
      </c>
      <c r="AU67" s="188">
        <v>2.2000000000000002</v>
      </c>
      <c r="AV67" s="188">
        <v>26.25</v>
      </c>
      <c r="AW67" s="186">
        <f t="shared" si="51"/>
        <v>0.55000000000000004</v>
      </c>
      <c r="AX67" s="186">
        <f>IF($AW$11&gt;0,(AW67/$AW$11)*'DADOS BASE'!W$40,0)</f>
        <v>98.822005848039225</v>
      </c>
      <c r="AY67" s="186">
        <f t="shared" si="52"/>
        <v>0.13508143322475449</v>
      </c>
      <c r="AZ67" s="186">
        <f t="shared" si="53"/>
        <v>7.0648015728468702E-6</v>
      </c>
      <c r="BA67" s="186">
        <f>AZ67*'DADOS BASE'!W$41</f>
        <v>52.193720934474243</v>
      </c>
      <c r="BC67" s="188">
        <v>0</v>
      </c>
      <c r="BD67" s="186">
        <f>IF($BC$11&gt;0,(BC67/$BC$11)*'DADOS BASE'!W$39,0)</f>
        <v>0</v>
      </c>
      <c r="BE67" s="187"/>
    </row>
    <row r="68" spans="2:57" x14ac:dyDescent="0.3">
      <c r="B68" s="223" t="s">
        <v>201</v>
      </c>
      <c r="C68" s="223" t="s">
        <v>206</v>
      </c>
      <c r="D68" s="223" t="s">
        <v>92</v>
      </c>
      <c r="E68" s="223">
        <v>2016</v>
      </c>
      <c r="F68" s="224"/>
      <c r="G68" s="225"/>
      <c r="H68" s="226">
        <f ca="1">IF(AND(E68&gt;=2018,SUMIF('DADOS BASE'!$C$101:$D$104,D68,'DADOS BASE'!$H$101:$H$104)&gt;J68),
SUMIF('DADOS BASE'!$C$101:$D$104,D68,'DADOS BASE'!$H$101:$H$104),
J68)</f>
        <v>1555383.0012019204</v>
      </c>
      <c r="I68" s="225"/>
      <c r="J68" s="226">
        <f t="shared" si="42"/>
        <v>1555383.0012019204</v>
      </c>
      <c r="K68" s="226"/>
      <c r="L68" s="227">
        <v>1526.0530708306001</v>
      </c>
      <c r="M68" s="226">
        <f t="shared" si="43"/>
        <v>1.1905558827714508E-3</v>
      </c>
      <c r="N68" s="226">
        <f>L68*'DADOS BASE'!$I$29</f>
        <v>1502759.5962886624</v>
      </c>
      <c r="O68" s="228"/>
      <c r="P68" s="227">
        <v>175.11994516792001</v>
      </c>
      <c r="Q68" s="226">
        <f>P68*'DADOS BASE'!$I$33</f>
        <v>43111.73430544616</v>
      </c>
      <c r="R68" s="226"/>
      <c r="S68" s="227">
        <v>12.073882422402001</v>
      </c>
      <c r="T68" s="226">
        <f>S68*'DADOS BASE'!$I$37</f>
        <v>9511.6706078118841</v>
      </c>
      <c r="U68" s="226"/>
      <c r="V68" s="226">
        <f t="shared" si="44"/>
        <v>52623.40491325804</v>
      </c>
      <c r="W68" s="228"/>
      <c r="X68" s="226"/>
      <c r="Y68" s="226"/>
      <c r="Z68" s="224"/>
      <c r="AA68" s="226"/>
      <c r="AB68" s="226"/>
      <c r="AC68" s="226"/>
      <c r="AD68" s="226"/>
      <c r="AE68" s="227">
        <v>540</v>
      </c>
      <c r="AF68" s="227">
        <v>497.52043002980002</v>
      </c>
      <c r="AG68" s="226" t="s">
        <v>155</v>
      </c>
      <c r="AH68" s="229">
        <v>0.64</v>
      </c>
      <c r="AI68" s="225">
        <f t="shared" si="45"/>
        <v>318.41307521907203</v>
      </c>
      <c r="AJ68" s="226">
        <f t="shared" si="46"/>
        <v>-0.1110417606121178</v>
      </c>
      <c r="AK68" s="226"/>
      <c r="AL68" s="226">
        <f t="shared" si="47"/>
        <v>199.62795520841181</v>
      </c>
      <c r="AM68" s="228">
        <f t="shared" si="48"/>
        <v>99318.986121258698</v>
      </c>
      <c r="AN68" s="226"/>
      <c r="AO68" s="227">
        <v>1.7705263157894999</v>
      </c>
      <c r="AP68" s="225"/>
      <c r="AQ68" s="226">
        <f t="shared" si="49"/>
        <v>880.87301401066952</v>
      </c>
      <c r="AR68" s="226">
        <f t="shared" si="50"/>
        <v>9.372397622653141E-4</v>
      </c>
      <c r="AS68" s="228">
        <f>AR68*'DADOS BASE'!W$38</f>
        <v>281148.27996243868</v>
      </c>
      <c r="AT68" s="225"/>
      <c r="AU68" s="227">
        <v>11.973827597841</v>
      </c>
      <c r="AV68" s="227">
        <v>41.75</v>
      </c>
      <c r="AW68" s="226">
        <f t="shared" si="51"/>
        <v>2.99345689946025</v>
      </c>
      <c r="AX68" s="226">
        <f>IF($AW$11&gt;0,(AW68/$AW$11)*'DADOS BASE'!W$40,0)</f>
        <v>537.85348222602579</v>
      </c>
      <c r="AY68" s="226">
        <f t="shared" si="52"/>
        <v>5.2999942156760156</v>
      </c>
      <c r="AZ68" s="226">
        <f t="shared" si="53"/>
        <v>2.771913695103251E-4</v>
      </c>
      <c r="BA68" s="226">
        <f>AZ68*'DADOS BASE'!W$41</f>
        <v>2047.8493042567761</v>
      </c>
      <c r="BB68" s="225"/>
      <c r="BC68" s="227">
        <v>0</v>
      </c>
      <c r="BD68" s="226">
        <f>IF($BC$11&gt;0,(BC68/$BC$11)*'DADOS BASE'!W$39,0)</f>
        <v>0</v>
      </c>
      <c r="BE68" s="187"/>
    </row>
    <row r="69" spans="2:57" x14ac:dyDescent="0.3">
      <c r="B69" s="184" t="s">
        <v>201</v>
      </c>
      <c r="C69" s="184" t="s">
        <v>207</v>
      </c>
      <c r="D69" s="184" t="s">
        <v>94</v>
      </c>
      <c r="E69" s="184">
        <v>2015</v>
      </c>
      <c r="F69" s="185"/>
      <c r="H69" s="186">
        <f ca="1">IF(AND(E69&gt;=2018,SUMIF('DADOS BASE'!$C$101:$D$104,D69,'DADOS BASE'!$H$101:$H$104)&gt;J69),
SUMIF('DADOS BASE'!$C$101:$D$104,D69,'DADOS BASE'!$H$101:$H$104),
J69)</f>
        <v>657012.80658943986</v>
      </c>
      <c r="J69" s="186">
        <f t="shared" si="42"/>
        <v>657012.80658943986</v>
      </c>
      <c r="K69" s="186"/>
      <c r="L69" s="188">
        <v>623.42829513042</v>
      </c>
      <c r="M69" s="186">
        <f t="shared" si="43"/>
        <v>4.8636986382768387E-4</v>
      </c>
      <c r="N69" s="186">
        <f>L69*'DADOS BASE'!$I$29</f>
        <v>613912.36714670958</v>
      </c>
      <c r="O69" s="187"/>
      <c r="P69" s="188">
        <v>101.16015497559999</v>
      </c>
      <c r="Q69" s="186">
        <f>P69*'DADOS BASE'!$I$33</f>
        <v>24904.014899182057</v>
      </c>
      <c r="R69" s="186"/>
      <c r="S69" s="188">
        <v>23.098097012156</v>
      </c>
      <c r="T69" s="186">
        <f>S69*'DADOS BASE'!$I$37</f>
        <v>18196.424543548263</v>
      </c>
      <c r="U69" s="186"/>
      <c r="V69" s="186">
        <f t="shared" si="44"/>
        <v>43100.43944273032</v>
      </c>
      <c r="W69" s="187"/>
      <c r="X69" s="186"/>
      <c r="Y69" s="186"/>
      <c r="Z69" s="185"/>
      <c r="AA69" s="186"/>
      <c r="AB69" s="186"/>
      <c r="AC69" s="186"/>
      <c r="AD69" s="186"/>
      <c r="AE69" s="188">
        <v>601</v>
      </c>
      <c r="AF69" s="188">
        <v>470.21976852077</v>
      </c>
      <c r="AG69" s="186" t="s">
        <v>155</v>
      </c>
      <c r="AH69" s="189">
        <v>0.69199999999999995</v>
      </c>
      <c r="AI69" s="183">
        <f t="shared" si="45"/>
        <v>325.39207981637281</v>
      </c>
      <c r="AJ69" s="186">
        <f t="shared" si="46"/>
        <v>-4.0904469331968278E-2</v>
      </c>
      <c r="AK69" s="186"/>
      <c r="AL69" s="186">
        <f t="shared" si="47"/>
        <v>187.0259410101344</v>
      </c>
      <c r="AM69" s="187">
        <f t="shared" si="48"/>
        <v>87943.294689164584</v>
      </c>
      <c r="AN69" s="186"/>
      <c r="AO69" s="188">
        <v>1.6801075268817001</v>
      </c>
      <c r="AQ69" s="186">
        <f t="shared" si="49"/>
        <v>790.01977238031634</v>
      </c>
      <c r="AR69" s="186">
        <f t="shared" si="50"/>
        <v>8.4057285428618751E-4</v>
      </c>
      <c r="AS69" s="187">
        <f>AR69*'DADOS BASE'!W$38</f>
        <v>252150.64669736032</v>
      </c>
      <c r="AU69" s="188">
        <v>18.382914925542</v>
      </c>
      <c r="AV69" s="188">
        <v>36.75</v>
      </c>
      <c r="AW69" s="186">
        <f t="shared" si="51"/>
        <v>4.5957287313855</v>
      </c>
      <c r="AX69" s="186">
        <f>IF($AW$11&gt;0,(AW69/$AW$11)*'DADOS BASE'!W$40,0)</f>
        <v>825.74387557996306</v>
      </c>
      <c r="AY69" s="186">
        <f t="shared" si="52"/>
        <v>7.7213184331072648</v>
      </c>
      <c r="AZ69" s="186">
        <f t="shared" si="53"/>
        <v>4.0382738995599577E-4</v>
      </c>
      <c r="BA69" s="186">
        <f>AZ69*'DADOS BASE'!W$41</f>
        <v>2983.417705327985</v>
      </c>
      <c r="BC69" s="188">
        <v>0</v>
      </c>
      <c r="BD69" s="186">
        <f>IF($BC$11&gt;0,(BC69/$BC$11)*'DADOS BASE'!W$39,0)</f>
        <v>0</v>
      </c>
      <c r="BE69" s="187"/>
    </row>
    <row r="70" spans="2:57" x14ac:dyDescent="0.3">
      <c r="B70" s="223" t="s">
        <v>201</v>
      </c>
      <c r="C70" s="223" t="s">
        <v>208</v>
      </c>
      <c r="D70" s="223" t="s">
        <v>209</v>
      </c>
      <c r="E70" s="223">
        <v>2017</v>
      </c>
      <c r="F70" s="224"/>
      <c r="G70" s="225"/>
      <c r="H70" s="226">
        <f ca="1">IF(AND(E70&gt;=2018,SUMIF('DADOS BASE'!$C$101:$D$104,D70,'DADOS BASE'!$H$101:$H$104)&gt;J70),
SUMIF('DADOS BASE'!$C$101:$D$104,D70,'DADOS BASE'!$H$101:$H$104),
J70)</f>
        <v>90655.524500833271</v>
      </c>
      <c r="I70" s="225"/>
      <c r="J70" s="226">
        <f t="shared" si="42"/>
        <v>90655.524500833271</v>
      </c>
      <c r="K70" s="226"/>
      <c r="L70" s="227">
        <v>0</v>
      </c>
      <c r="M70" s="226">
        <f t="shared" si="43"/>
        <v>0</v>
      </c>
      <c r="N70" s="226">
        <f>L70*'DADOS BASE'!$I$29</f>
        <v>0</v>
      </c>
      <c r="O70" s="228"/>
      <c r="P70" s="227">
        <v>176.35946247979001</v>
      </c>
      <c r="Q70" s="226">
        <f>P70*'DADOS BASE'!$I$33</f>
        <v>43416.883675868245</v>
      </c>
      <c r="R70" s="226"/>
      <c r="S70" s="227">
        <v>59.963577233875</v>
      </c>
      <c r="T70" s="226">
        <f>S70*'DADOS BASE'!$I$37</f>
        <v>47238.640824965019</v>
      </c>
      <c r="U70" s="226"/>
      <c r="V70" s="226">
        <f t="shared" si="44"/>
        <v>90655.524500833271</v>
      </c>
      <c r="W70" s="228"/>
      <c r="X70" s="226"/>
      <c r="Y70" s="226"/>
      <c r="Z70" s="224"/>
      <c r="AA70" s="226"/>
      <c r="AB70" s="226"/>
      <c r="AC70" s="226"/>
      <c r="AD70" s="226"/>
      <c r="AE70" s="227">
        <v>0</v>
      </c>
      <c r="AF70" s="227">
        <v>0</v>
      </c>
      <c r="AG70" s="226" t="s">
        <v>155</v>
      </c>
      <c r="AH70" s="229">
        <v>0.626</v>
      </c>
      <c r="AI70" s="225">
        <f t="shared" si="45"/>
        <v>0</v>
      </c>
      <c r="AJ70" s="226">
        <f t="shared" si="46"/>
        <v>-0.12992487749523501</v>
      </c>
      <c r="AK70" s="226"/>
      <c r="AL70" s="226">
        <f t="shared" si="47"/>
        <v>203.02080518487111</v>
      </c>
      <c r="AM70" s="228">
        <f t="shared" si="48"/>
        <v>0</v>
      </c>
      <c r="AN70" s="226"/>
      <c r="AO70" s="227">
        <v>1.8543307086614</v>
      </c>
      <c r="AP70" s="225"/>
      <c r="AQ70" s="226">
        <f t="shared" si="49"/>
        <v>0</v>
      </c>
      <c r="AR70" s="226">
        <f t="shared" si="50"/>
        <v>0</v>
      </c>
      <c r="AS70" s="228">
        <f>AR70*'DADOS BASE'!W$38</f>
        <v>0</v>
      </c>
      <c r="AT70" s="225"/>
      <c r="AU70" s="227">
        <v>33.178455161960997</v>
      </c>
      <c r="AV70" s="227">
        <v>58.5</v>
      </c>
      <c r="AW70" s="226">
        <f t="shared" si="51"/>
        <v>8.2946137904902493</v>
      </c>
      <c r="AX70" s="226">
        <f>IF($AW$11&gt;0,(AW70/$AW$11)*'DADOS BASE'!W$40,0)</f>
        <v>1490.3461318382801</v>
      </c>
      <c r="AY70" s="226">
        <f t="shared" si="52"/>
        <v>15.380957068192405</v>
      </c>
      <c r="AZ70" s="226">
        <f t="shared" si="53"/>
        <v>8.044289070168279E-4</v>
      </c>
      <c r="BA70" s="226">
        <f>AZ70*'DADOS BASE'!W$41</f>
        <v>5943.0031334257965</v>
      </c>
      <c r="BB70" s="225"/>
      <c r="BC70" s="227">
        <v>0</v>
      </c>
      <c r="BD70" s="226">
        <f>IF($BC$11&gt;0,(BC70/$BC$11)*'DADOS BASE'!W$39,0)</f>
        <v>0</v>
      </c>
      <c r="BE70" s="187"/>
    </row>
    <row r="71" spans="2:57" x14ac:dyDescent="0.3">
      <c r="F71" s="185"/>
      <c r="H71" s="186"/>
      <c r="J71" s="186"/>
      <c r="K71" s="186"/>
      <c r="L71" s="186"/>
      <c r="M71" s="186"/>
      <c r="N71" s="186"/>
      <c r="O71" s="187"/>
      <c r="P71" s="186"/>
      <c r="Q71" s="186"/>
      <c r="R71" s="186"/>
      <c r="S71" s="186"/>
      <c r="T71" s="186"/>
      <c r="U71" s="186"/>
      <c r="V71" s="186"/>
      <c r="W71" s="187"/>
      <c r="X71" s="186"/>
      <c r="Y71" s="186"/>
      <c r="Z71" s="185"/>
      <c r="AA71" s="186"/>
      <c r="AB71" s="186"/>
      <c r="AC71" s="186"/>
      <c r="AD71" s="186"/>
      <c r="AE71" s="186"/>
      <c r="AF71" s="186"/>
      <c r="AG71" s="186"/>
      <c r="AH71" s="185"/>
      <c r="AJ71" s="186"/>
      <c r="AK71" s="186"/>
      <c r="AL71" s="186"/>
      <c r="AM71" s="187"/>
      <c r="AN71" s="186"/>
      <c r="AO71" s="186"/>
      <c r="AQ71" s="186"/>
      <c r="AR71" s="186"/>
      <c r="AS71" s="187"/>
      <c r="AU71" s="186"/>
      <c r="AV71" s="186"/>
      <c r="AW71" s="186"/>
      <c r="AX71" s="186"/>
      <c r="AY71" s="186"/>
      <c r="AZ71" s="186"/>
      <c r="BA71" s="186"/>
      <c r="BC71" s="186"/>
      <c r="BD71" s="186"/>
      <c r="BE71" s="187"/>
    </row>
    <row r="72" spans="2:57" x14ac:dyDescent="0.3">
      <c r="B72" s="209" t="s">
        <v>210</v>
      </c>
      <c r="C72" s="209" t="s">
        <v>211</v>
      </c>
      <c r="D72" s="211" t="s">
        <v>154</v>
      </c>
      <c r="E72" s="211"/>
      <c r="F72" s="210"/>
      <c r="G72" s="211"/>
      <c r="H72" s="212">
        <f ca="1">SUM(H73:H88)</f>
        <v>27710695.425518204</v>
      </c>
      <c r="I72" s="211"/>
      <c r="J72" s="212">
        <f>SUM(J73:J88)</f>
        <v>27710695.425518204</v>
      </c>
      <c r="K72" s="212"/>
      <c r="L72" s="212">
        <f>SUM(L73:L88)</f>
        <v>27378.85282699137</v>
      </c>
      <c r="M72" s="212">
        <f>SUM(M73:M88)</f>
        <v>2.1359712135677538E-2</v>
      </c>
      <c r="N72" s="212">
        <f>SUM(N73:N88)</f>
        <v>26960945.597221263</v>
      </c>
      <c r="O72" s="214"/>
      <c r="P72" s="212">
        <f>SUM(P73:P88)</f>
        <v>0</v>
      </c>
      <c r="Q72" s="212">
        <f>SUM(Q73:Q88)</f>
        <v>0</v>
      </c>
      <c r="R72" s="212"/>
      <c r="S72" s="212">
        <f>SUM(S73:S88)</f>
        <v>951.71412534394483</v>
      </c>
      <c r="T72" s="212">
        <f>SUM(T73:T88)</f>
        <v>749749.82829694438</v>
      </c>
      <c r="U72" s="212"/>
      <c r="V72" s="212">
        <f>SUM(V73:V88)</f>
        <v>749749.82829694438</v>
      </c>
      <c r="W72" s="214"/>
      <c r="X72" s="212">
        <f>SUMIF(INDICADORES!$D$13:$D$53,C72,INDICADORES!$L$13:$L$53)</f>
        <v>6.4200437813873917E-3</v>
      </c>
      <c r="Y72" s="212">
        <f>X72*'DADOS BASE'!$I$79</f>
        <v>266580.8680858888</v>
      </c>
      <c r="Z72" s="210">
        <f>SUMIF(INDICADORES!$D$13:$D$53,C72,INDICADORES!$R$13:$R$53)</f>
        <v>0</v>
      </c>
      <c r="AA72" s="212">
        <f>Z72*'DADOS BASE'!$I$84</f>
        <v>0</v>
      </c>
      <c r="AB72" s="212">
        <f>SUMIF(INDICADORES!$D$13:$D$53,C72,INDICADORES!$Z$13:$Z$53)</f>
        <v>9.4196761704759921E-2</v>
      </c>
      <c r="AC72" s="212">
        <f>AB72*'DADOS BASE'!$I$89</f>
        <v>7822705.0659482963</v>
      </c>
      <c r="AD72" s="212"/>
      <c r="AE72" s="212">
        <f>SUM(AE73:AE88)</f>
        <v>13239</v>
      </c>
      <c r="AF72" s="212">
        <f>SUM(AF73:AF88)</f>
        <v>9206.41656312749</v>
      </c>
      <c r="AG72" s="212" t="s">
        <v>155</v>
      </c>
      <c r="AH72" s="210"/>
      <c r="AI72" s="211"/>
      <c r="AJ72" s="212"/>
      <c r="AK72" s="212"/>
      <c r="AL72" s="212"/>
      <c r="AM72" s="214">
        <f>SUM(AM73:AM88)</f>
        <v>1827715.7737526256</v>
      </c>
      <c r="AN72" s="212"/>
      <c r="AO72" s="212"/>
      <c r="AP72" s="211"/>
      <c r="AQ72" s="212">
        <f>SUM(AQ73:AQ88)</f>
        <v>19884.022652384909</v>
      </c>
      <c r="AR72" s="212"/>
      <c r="AS72" s="214">
        <f>SUM(AS73:AS88)</f>
        <v>6346384.4147057394</v>
      </c>
      <c r="AT72" s="211"/>
      <c r="AU72" s="212">
        <f t="shared" ref="AU72:BA72" si="54">SUM(AU73:AU88)</f>
        <v>592.44704540003784</v>
      </c>
      <c r="AV72" s="212">
        <f t="shared" si="54"/>
        <v>889</v>
      </c>
      <c r="AW72" s="212">
        <f t="shared" si="54"/>
        <v>148.11176135000946</v>
      </c>
      <c r="AX72" s="212">
        <f t="shared" si="54"/>
        <v>26612.18426598913</v>
      </c>
      <c r="AY72" s="212">
        <f t="shared" si="54"/>
        <v>318.68845133548996</v>
      </c>
      <c r="AZ72" s="212">
        <f t="shared" si="54"/>
        <v>1.6667506543974892E-2</v>
      </c>
      <c r="BA72" s="212">
        <f t="shared" si="54"/>
        <v>123137.10105791314</v>
      </c>
      <c r="BB72" s="211"/>
      <c r="BC72" s="212">
        <f>SUM(BC73:BC88)</f>
        <v>698.5</v>
      </c>
      <c r="BD72" s="212">
        <f>SUM(BD73:BD88)</f>
        <v>3774138.0027410202</v>
      </c>
      <c r="BE72" s="187"/>
    </row>
    <row r="73" spans="2:57" x14ac:dyDescent="0.3">
      <c r="B73" s="216" t="s">
        <v>210</v>
      </c>
      <c r="C73" s="218" t="s">
        <v>156</v>
      </c>
      <c r="D73" s="218" t="s">
        <v>157</v>
      </c>
      <c r="E73" s="218"/>
      <c r="F73" s="217"/>
      <c r="G73" s="218"/>
      <c r="H73" s="219"/>
      <c r="I73" s="218"/>
      <c r="J73" s="219"/>
      <c r="K73" s="219"/>
      <c r="L73" s="219">
        <v>0</v>
      </c>
      <c r="M73" s="219">
        <v>0</v>
      </c>
      <c r="N73" s="219">
        <v>0</v>
      </c>
      <c r="O73" s="221"/>
      <c r="P73" s="219"/>
      <c r="Q73" s="219"/>
      <c r="R73" s="219"/>
      <c r="S73" s="219"/>
      <c r="T73" s="219"/>
      <c r="U73" s="219"/>
      <c r="V73" s="219"/>
      <c r="W73" s="221"/>
      <c r="X73" s="219"/>
      <c r="Y73" s="219"/>
      <c r="Z73" s="217"/>
      <c r="AA73" s="219"/>
      <c r="AB73" s="219"/>
      <c r="AC73" s="219"/>
      <c r="AD73" s="219"/>
      <c r="AE73" s="219"/>
      <c r="AF73" s="219"/>
      <c r="AG73" s="219" t="s">
        <v>155</v>
      </c>
      <c r="AH73" s="217"/>
      <c r="AI73" s="218"/>
      <c r="AJ73" s="219"/>
      <c r="AK73" s="219"/>
      <c r="AL73" s="219"/>
      <c r="AM73" s="221"/>
      <c r="AN73" s="219"/>
      <c r="AO73" s="219"/>
      <c r="AP73" s="218"/>
      <c r="AQ73" s="219"/>
      <c r="AR73" s="219"/>
      <c r="AS73" s="221"/>
      <c r="AT73" s="218"/>
      <c r="AU73" s="219"/>
      <c r="AV73" s="219"/>
      <c r="AW73" s="219"/>
      <c r="AX73" s="219"/>
      <c r="AY73" s="219"/>
      <c r="AZ73" s="219"/>
      <c r="BA73" s="219"/>
      <c r="BB73" s="218"/>
      <c r="BC73" s="219"/>
      <c r="BD73" s="219"/>
      <c r="BE73" s="187"/>
    </row>
    <row r="74" spans="2:57" x14ac:dyDescent="0.3">
      <c r="B74" s="223" t="s">
        <v>210</v>
      </c>
      <c r="C74" s="223" t="s">
        <v>212</v>
      </c>
      <c r="D74" s="223" t="s">
        <v>92</v>
      </c>
      <c r="E74" s="223">
        <v>2015</v>
      </c>
      <c r="F74" s="224"/>
      <c r="G74" s="225"/>
      <c r="H74" s="226">
        <f ca="1">IF(AND(E74&gt;=2018,SUMIF('DADOS BASE'!$C$101:$D$104,D74,'DADOS BASE'!$H$101:$H$104)&gt;J74),
SUMIF('DADOS BASE'!$C$101:$D$104,D74,'DADOS BASE'!$H$101:$H$104),
J74)</f>
        <v>1249773.0695465053</v>
      </c>
      <c r="I74" s="225"/>
      <c r="J74" s="226">
        <f t="shared" ref="J74:J88" si="55">N74+Q74+T74</f>
        <v>1249773.0695465053</v>
      </c>
      <c r="K74" s="226"/>
      <c r="L74" s="227">
        <v>1241.1194825006</v>
      </c>
      <c r="M74" s="226">
        <f t="shared" ref="M74:M88" si="56">L74/$L$11</f>
        <v>9.6826390206017408E-4</v>
      </c>
      <c r="N74" s="226">
        <f>L74*'DADOS BASE'!$I$29</f>
        <v>1222175.1969959056</v>
      </c>
      <c r="O74" s="228"/>
      <c r="P74" s="227">
        <v>0</v>
      </c>
      <c r="Q74" s="226">
        <f>P74*'DADOS BASE'!$I$33</f>
        <v>0</v>
      </c>
      <c r="R74" s="226"/>
      <c r="S74" s="227">
        <v>35.032065556466002</v>
      </c>
      <c r="T74" s="226">
        <f>S74*'DADOS BASE'!$I$37</f>
        <v>27597.872550599732</v>
      </c>
      <c r="U74" s="226"/>
      <c r="V74" s="226">
        <f t="shared" ref="V74:V88" si="57">T74+Q74</f>
        <v>27597.872550599732</v>
      </c>
      <c r="W74" s="228"/>
      <c r="X74" s="226"/>
      <c r="Y74" s="226"/>
      <c r="Z74" s="224"/>
      <c r="AA74" s="226"/>
      <c r="AB74" s="226"/>
      <c r="AC74" s="226"/>
      <c r="AD74" s="226"/>
      <c r="AE74" s="227">
        <v>524</v>
      </c>
      <c r="AF74" s="227">
        <v>332.69022833679003</v>
      </c>
      <c r="AG74" s="226" t="s">
        <v>155</v>
      </c>
      <c r="AH74" s="229">
        <v>0.68300000000000005</v>
      </c>
      <c r="AI74" s="225">
        <f t="shared" ref="AI74:AI88" si="58">AF74*AH74</f>
        <v>227.22742595402761</v>
      </c>
      <c r="AJ74" s="226">
        <f t="shared" ref="AJ74:AJ88" si="59">(AH74-$AI$12)*$AJ$12</f>
        <v>-5.3043615899686342E-2</v>
      </c>
      <c r="AK74" s="226"/>
      <c r="AL74" s="226">
        <f t="shared" ref="AL74:AL88" si="60">$AL$11-(AJ74*$AL$11)</f>
        <v>189.20705885214394</v>
      </c>
      <c r="AM74" s="228">
        <f t="shared" ref="AM74:AM88" si="61">AF74*AL74</f>
        <v>62947.339612452241</v>
      </c>
      <c r="AN74" s="226"/>
      <c r="AO74" s="227">
        <v>2.1218390804598002</v>
      </c>
      <c r="AP74" s="225"/>
      <c r="AQ74" s="226">
        <f t="shared" ref="AQ74:AQ88" si="62">AF74*AO74</f>
        <v>705.91512817209548</v>
      </c>
      <c r="AR74" s="226">
        <f t="shared" ref="AR74:AR88" si="63">AQ74/$AQ$11</f>
        <v>7.5108638405795209E-4</v>
      </c>
      <c r="AS74" s="228">
        <f>AR74*'DADOS BASE'!W$38</f>
        <v>225306.96357857226</v>
      </c>
      <c r="AT74" s="225"/>
      <c r="AU74" s="227">
        <v>21.293726416519</v>
      </c>
      <c r="AV74" s="227">
        <v>28.75</v>
      </c>
      <c r="AW74" s="226">
        <f t="shared" ref="AW74:AW88" si="64">AU74/4</f>
        <v>5.32343160412975</v>
      </c>
      <c r="AX74" s="226">
        <f>IF($AW$11&gt;0,(AW74/$AW$11)*'DADOS BASE'!W$40,0)</f>
        <v>956.49488929990343</v>
      </c>
      <c r="AY74" s="226">
        <f t="shared" ref="AY74:AY88" si="65">AO74*AW74</f>
        <v>11.295465219797308</v>
      </c>
      <c r="AZ74" s="226">
        <f t="shared" ref="AZ74:AZ88" si="66">IF($AY$11&gt;0,AY74/$AY$11,0)</f>
        <v>5.9075639446381936E-4</v>
      </c>
      <c r="BA74" s="226">
        <f>AZ74*'DADOS BASE'!W$41</f>
        <v>4364.4218560091604</v>
      </c>
      <c r="BB74" s="225"/>
      <c r="BC74" s="227">
        <v>0</v>
      </c>
      <c r="BD74" s="226">
        <f>IF($BC$11&gt;0,(BC74/$BC$11)*'DADOS BASE'!W$39,0)</f>
        <v>0</v>
      </c>
      <c r="BE74" s="187"/>
    </row>
    <row r="75" spans="2:57" x14ac:dyDescent="0.3">
      <c r="B75" s="184" t="s">
        <v>210</v>
      </c>
      <c r="C75" s="184" t="s">
        <v>213</v>
      </c>
      <c r="D75" s="184" t="s">
        <v>92</v>
      </c>
      <c r="E75" s="184">
        <v>2011</v>
      </c>
      <c r="F75" s="185"/>
      <c r="H75" s="186">
        <f ca="1">IF(AND(E75&gt;=2018,SUMIF('DADOS BASE'!$C$101:$D$104,D75,'DADOS BASE'!$H$101:$H$104)&gt;J75),
SUMIF('DADOS BASE'!$C$101:$D$104,D75,'DADOS BASE'!$H$101:$H$104),
J75)</f>
        <v>1849241.1899489779</v>
      </c>
      <c r="J75" s="186">
        <f t="shared" si="55"/>
        <v>1849241.1899489779</v>
      </c>
      <c r="K75" s="186"/>
      <c r="L75" s="188">
        <v>1872.6098809354</v>
      </c>
      <c r="M75" s="186">
        <f t="shared" si="56"/>
        <v>1.4609234452574729E-3</v>
      </c>
      <c r="N75" s="186">
        <f>L75*'DADOS BASE'!$I$29</f>
        <v>1844026.608556276</v>
      </c>
      <c r="O75" s="187"/>
      <c r="P75" s="188">
        <v>0</v>
      </c>
      <c r="Q75" s="186">
        <f>P75*'DADOS BASE'!$I$33</f>
        <v>0</v>
      </c>
      <c r="R75" s="186"/>
      <c r="S75" s="188">
        <v>6.6192622950819997</v>
      </c>
      <c r="T75" s="186">
        <f>S75*'DADOS BASE'!$I$37</f>
        <v>5214.5813927019726</v>
      </c>
      <c r="U75" s="186"/>
      <c r="V75" s="186">
        <f t="shared" si="57"/>
        <v>5214.5813927019726</v>
      </c>
      <c r="W75" s="187"/>
      <c r="X75" s="186"/>
      <c r="Y75" s="186"/>
      <c r="Z75" s="185"/>
      <c r="AA75" s="186"/>
      <c r="AB75" s="186"/>
      <c r="AC75" s="186"/>
      <c r="AD75" s="186"/>
      <c r="AE75" s="188">
        <v>955</v>
      </c>
      <c r="AF75" s="188">
        <v>625.76395193072005</v>
      </c>
      <c r="AG75" s="186" t="s">
        <v>155</v>
      </c>
      <c r="AH75" s="189">
        <v>0.63300000000000001</v>
      </c>
      <c r="AI75" s="183">
        <f t="shared" si="58"/>
        <v>396.10858157214579</v>
      </c>
      <c r="AJ75" s="186">
        <f t="shared" si="59"/>
        <v>-0.1204833190536764</v>
      </c>
      <c r="AK75" s="186"/>
      <c r="AL75" s="186">
        <f t="shared" si="60"/>
        <v>201.32438019664144</v>
      </c>
      <c r="AM75" s="187">
        <f t="shared" si="61"/>
        <v>125981.53977185315</v>
      </c>
      <c r="AN75" s="186"/>
      <c r="AO75" s="188">
        <v>2.0860805860806</v>
      </c>
      <c r="AQ75" s="186">
        <f t="shared" si="62"/>
        <v>1305.3940315917489</v>
      </c>
      <c r="AR75" s="186">
        <f t="shared" si="63"/>
        <v>1.3889257275133094E-3</v>
      </c>
      <c r="AS75" s="187">
        <f>AR75*'DADOS BASE'!W$38</f>
        <v>416642.67245994683</v>
      </c>
      <c r="AU75" s="188">
        <v>6.6192622950819997</v>
      </c>
      <c r="AV75" s="188">
        <v>24.5</v>
      </c>
      <c r="AW75" s="186">
        <f t="shared" si="64"/>
        <v>1.6548155737704999</v>
      </c>
      <c r="AX75" s="186">
        <f>IF($AW$11&gt;0,(AW75/$AW$11)*'DADOS BASE'!W$40,0)</f>
        <v>297.33126237922676</v>
      </c>
      <c r="AY75" s="186">
        <f t="shared" si="65"/>
        <v>3.4520786419864686</v>
      </c>
      <c r="AZ75" s="186">
        <f t="shared" si="66"/>
        <v>1.8054480203003796E-4</v>
      </c>
      <c r="BA75" s="186">
        <f>AZ75*'DADOS BASE'!W$41</f>
        <v>1333.8385963370285</v>
      </c>
      <c r="BC75" s="188">
        <v>0</v>
      </c>
      <c r="BD75" s="186">
        <f>IF($BC$11&gt;0,(BC75/$BC$11)*'DADOS BASE'!W$39,0)</f>
        <v>0</v>
      </c>
      <c r="BE75" s="187"/>
    </row>
    <row r="76" spans="2:57" x14ac:dyDescent="0.3">
      <c r="B76" s="223" t="s">
        <v>210</v>
      </c>
      <c r="C76" s="223" t="s">
        <v>214</v>
      </c>
      <c r="D76" s="223" t="s">
        <v>92</v>
      </c>
      <c r="E76" s="223">
        <v>2010</v>
      </c>
      <c r="F76" s="224"/>
      <c r="G76" s="225"/>
      <c r="H76" s="226">
        <f ca="1">IF(AND(E76&gt;=2018,SUMIF('DADOS BASE'!$C$101:$D$104,D76,'DADOS BASE'!$H$101:$H$104)&gt;J76),
SUMIF('DADOS BASE'!$C$101:$D$104,D76,'DADOS BASE'!$H$101:$H$104),
J76)</f>
        <v>3281684.9713553609</v>
      </c>
      <c r="I76" s="225"/>
      <c r="J76" s="226">
        <f t="shared" si="55"/>
        <v>3281684.9713553609</v>
      </c>
      <c r="K76" s="226"/>
      <c r="L76" s="227">
        <v>3327.5468574807001</v>
      </c>
      <c r="M76" s="226">
        <f t="shared" si="56"/>
        <v>2.595997847057223E-3</v>
      </c>
      <c r="N76" s="226">
        <f>L76*'DADOS BASE'!$I$29</f>
        <v>3276755.61732439</v>
      </c>
      <c r="O76" s="228"/>
      <c r="P76" s="227">
        <v>0</v>
      </c>
      <c r="Q76" s="226">
        <f>P76*'DADOS BASE'!$I$33</f>
        <v>0</v>
      </c>
      <c r="R76" s="226"/>
      <c r="S76" s="227">
        <v>6.2572016465178004</v>
      </c>
      <c r="T76" s="226">
        <f>S76*'DADOS BASE'!$I$37</f>
        <v>4929.3540309708578</v>
      </c>
      <c r="U76" s="226"/>
      <c r="V76" s="226">
        <f t="shared" si="57"/>
        <v>4929.3540309708578</v>
      </c>
      <c r="W76" s="228"/>
      <c r="X76" s="226"/>
      <c r="Y76" s="226"/>
      <c r="Z76" s="224"/>
      <c r="AA76" s="226"/>
      <c r="AB76" s="226"/>
      <c r="AC76" s="226"/>
      <c r="AD76" s="226"/>
      <c r="AE76" s="227">
        <v>1489</v>
      </c>
      <c r="AF76" s="227">
        <v>1204.3116989361999</v>
      </c>
      <c r="AG76" s="226" t="s">
        <v>155</v>
      </c>
      <c r="AH76" s="229">
        <v>0.67700000000000005</v>
      </c>
      <c r="AI76" s="225">
        <f t="shared" si="58"/>
        <v>815.31902017980747</v>
      </c>
      <c r="AJ76" s="226">
        <f t="shared" si="59"/>
        <v>-6.1136380278165148E-2</v>
      </c>
      <c r="AK76" s="226"/>
      <c r="AL76" s="226">
        <f t="shared" si="60"/>
        <v>190.66113741348363</v>
      </c>
      <c r="AM76" s="228">
        <f t="shared" si="61"/>
        <v>229615.43831954076</v>
      </c>
      <c r="AN76" s="226"/>
      <c r="AO76" s="227">
        <v>2.2154222766217999</v>
      </c>
      <c r="AP76" s="225"/>
      <c r="AQ76" s="226">
        <f t="shared" si="62"/>
        <v>2668.0589658195036</v>
      </c>
      <c r="AR76" s="226">
        <f t="shared" si="63"/>
        <v>2.8387871021829519E-3</v>
      </c>
      <c r="AS76" s="228">
        <f>AR76*'DADOS BASE'!W$38</f>
        <v>851564.50152011425</v>
      </c>
      <c r="AT76" s="225"/>
      <c r="AU76" s="227">
        <v>6.2572016465178004</v>
      </c>
      <c r="AV76" s="227">
        <v>10</v>
      </c>
      <c r="AW76" s="226">
        <f t="shared" si="64"/>
        <v>1.5643004116294501</v>
      </c>
      <c r="AX76" s="226">
        <f>IF($AW$11&gt;0,(AW76/$AW$11)*'DADOS BASE'!W$40,0)</f>
        <v>281.06782622933758</v>
      </c>
      <c r="AY76" s="226">
        <f t="shared" si="65"/>
        <v>3.465585979252535</v>
      </c>
      <c r="AZ76" s="226">
        <f t="shared" si="66"/>
        <v>1.8125124003031813E-4</v>
      </c>
      <c r="BA76" s="226">
        <f>AZ76*'DADOS BASE'!W$41</f>
        <v>1339.0576569806913</v>
      </c>
      <c r="BB76" s="225"/>
      <c r="BC76" s="227">
        <v>46</v>
      </c>
      <c r="BD76" s="226">
        <f>IF($BC$11&gt;0,(BC76/$BC$11)*'DADOS BASE'!W$39,0)</f>
        <v>248547.38457564346</v>
      </c>
      <c r="BE76" s="187"/>
    </row>
    <row r="77" spans="2:57" x14ac:dyDescent="0.3">
      <c r="B77" s="184" t="s">
        <v>210</v>
      </c>
      <c r="C77" s="184" t="s">
        <v>215</v>
      </c>
      <c r="D77" s="184" t="s">
        <v>92</v>
      </c>
      <c r="E77" s="184">
        <v>2015</v>
      </c>
      <c r="F77" s="185"/>
      <c r="H77" s="186">
        <f ca="1">IF(AND(E77&gt;=2018,SUMIF('DADOS BASE'!$C$101:$D$104,D77,'DADOS BASE'!$H$101:$H$104)&gt;J77),
SUMIF('DADOS BASE'!$C$101:$D$104,D77,'DADOS BASE'!$H$101:$H$104),
J77)</f>
        <v>1109216.4202164763</v>
      </c>
      <c r="J77" s="186">
        <f t="shared" si="55"/>
        <v>1109216.4202164763</v>
      </c>
      <c r="K77" s="186"/>
      <c r="L77" s="188">
        <v>1069.3231240636001</v>
      </c>
      <c r="M77" s="186">
        <f t="shared" si="56"/>
        <v>8.3423634490283375E-4</v>
      </c>
      <c r="N77" s="186">
        <f>L77*'DADOS BASE'!$I$29</f>
        <v>1053001.1157117388</v>
      </c>
      <c r="O77" s="187"/>
      <c r="P77" s="188">
        <v>0</v>
      </c>
      <c r="Q77" s="186">
        <f>P77*'DADOS BASE'!$I$33</f>
        <v>0</v>
      </c>
      <c r="R77" s="186"/>
      <c r="S77" s="188">
        <v>71.358334925126996</v>
      </c>
      <c r="T77" s="186">
        <f>S77*'DADOS BASE'!$I$37</f>
        <v>56215.304504737549</v>
      </c>
      <c r="U77" s="186"/>
      <c r="V77" s="186">
        <f t="shared" si="57"/>
        <v>56215.304504737549</v>
      </c>
      <c r="W77" s="187"/>
      <c r="X77" s="186"/>
      <c r="Y77" s="186"/>
      <c r="Z77" s="185"/>
      <c r="AA77" s="186"/>
      <c r="AB77" s="186"/>
      <c r="AC77" s="186"/>
      <c r="AD77" s="186"/>
      <c r="AE77" s="188">
        <v>912</v>
      </c>
      <c r="AF77" s="188">
        <v>421.53829741408998</v>
      </c>
      <c r="AG77" s="186" t="s">
        <v>155</v>
      </c>
      <c r="AH77" s="189">
        <v>0.64300000000000002</v>
      </c>
      <c r="AI77" s="183">
        <f t="shared" si="58"/>
        <v>271.04912523725989</v>
      </c>
      <c r="AJ77" s="186">
        <f t="shared" si="59"/>
        <v>-0.10699537842287839</v>
      </c>
      <c r="AK77" s="186"/>
      <c r="AL77" s="186">
        <f t="shared" si="60"/>
        <v>198.90091592774195</v>
      </c>
      <c r="AM77" s="187">
        <f t="shared" si="61"/>
        <v>83844.353454283395</v>
      </c>
      <c r="AN77" s="186"/>
      <c r="AO77" s="188">
        <v>2.1678321678321999</v>
      </c>
      <c r="AQ77" s="186">
        <f t="shared" si="62"/>
        <v>913.82428110748128</v>
      </c>
      <c r="AR77" s="186">
        <f t="shared" si="63"/>
        <v>9.7229956912617309E-4</v>
      </c>
      <c r="AS77" s="187">
        <f>AR77*'DADOS BASE'!W$38</f>
        <v>291665.33738104557</v>
      </c>
      <c r="AU77" s="188">
        <v>43.594433375446002</v>
      </c>
      <c r="AV77" s="188">
        <v>64.5</v>
      </c>
      <c r="AW77" s="186">
        <f t="shared" si="64"/>
        <v>10.8986083438615</v>
      </c>
      <c r="AX77" s="186">
        <f>IF($AW$11&gt;0,(AW77/$AW$11)*'DADOS BASE'!W$40,0)</f>
        <v>1958.2224318046729</v>
      </c>
      <c r="AY77" s="186">
        <f t="shared" si="65"/>
        <v>23.626353752427377</v>
      </c>
      <c r="AZ77" s="186">
        <f t="shared" si="66"/>
        <v>1.2356657548418519E-3</v>
      </c>
      <c r="BA77" s="186">
        <f>AZ77*'DADOS BASE'!W$41</f>
        <v>9128.917905405975</v>
      </c>
      <c r="BC77" s="188">
        <v>0</v>
      </c>
      <c r="BD77" s="186">
        <f>IF($BC$11&gt;0,(BC77/$BC$11)*'DADOS BASE'!W$39,0)</f>
        <v>0</v>
      </c>
      <c r="BE77" s="187"/>
    </row>
    <row r="78" spans="2:57" x14ac:dyDescent="0.3">
      <c r="B78" s="223" t="s">
        <v>210</v>
      </c>
      <c r="C78" s="223" t="s">
        <v>216</v>
      </c>
      <c r="D78" s="223" t="s">
        <v>92</v>
      </c>
      <c r="E78" s="223">
        <v>2010</v>
      </c>
      <c r="F78" s="224"/>
      <c r="G78" s="225"/>
      <c r="H78" s="226">
        <f ca="1">IF(AND(E78&gt;=2018,SUMIF('DADOS BASE'!$C$101:$D$104,D78,'DADOS BASE'!$H$101:$H$104)&gt;J78),
SUMIF('DADOS BASE'!$C$101:$D$104,D78,'DADOS BASE'!$H$101:$H$104),
J78)</f>
        <v>3960366.3288215757</v>
      </c>
      <c r="I78" s="225"/>
      <c r="J78" s="226">
        <f t="shared" si="55"/>
        <v>3960366.3288215757</v>
      </c>
      <c r="K78" s="226"/>
      <c r="L78" s="227">
        <v>3990.7304096419998</v>
      </c>
      <c r="M78" s="226">
        <f t="shared" si="56"/>
        <v>3.1133829200109199E-3</v>
      </c>
      <c r="N78" s="226">
        <f>L78*'DADOS BASE'!$I$29</f>
        <v>3929816.4224566543</v>
      </c>
      <c r="O78" s="228"/>
      <c r="P78" s="227">
        <v>0</v>
      </c>
      <c r="Q78" s="226">
        <f>P78*'DADOS BASE'!$I$33</f>
        <v>0</v>
      </c>
      <c r="R78" s="226"/>
      <c r="S78" s="227">
        <v>38.779305200341</v>
      </c>
      <c r="T78" s="226">
        <f>S78*'DADOS BASE'!$I$37</f>
        <v>30549.90636492128</v>
      </c>
      <c r="U78" s="226"/>
      <c r="V78" s="226">
        <f t="shared" si="57"/>
        <v>30549.90636492128</v>
      </c>
      <c r="W78" s="228"/>
      <c r="X78" s="226"/>
      <c r="Y78" s="226"/>
      <c r="Z78" s="224"/>
      <c r="AA78" s="226"/>
      <c r="AB78" s="226"/>
      <c r="AC78" s="226"/>
      <c r="AD78" s="226"/>
      <c r="AE78" s="227">
        <v>2036</v>
      </c>
      <c r="AF78" s="227">
        <v>1316.788873796</v>
      </c>
      <c r="AG78" s="226" t="s">
        <v>155</v>
      </c>
      <c r="AH78" s="229">
        <v>0.67300000000000004</v>
      </c>
      <c r="AI78" s="225">
        <f t="shared" si="58"/>
        <v>886.198912064708</v>
      </c>
      <c r="AJ78" s="226">
        <f t="shared" si="59"/>
        <v>-6.6531556530484356E-2</v>
      </c>
      <c r="AK78" s="226"/>
      <c r="AL78" s="226">
        <f t="shared" si="60"/>
        <v>191.63052312104344</v>
      </c>
      <c r="AM78" s="228">
        <f t="shared" si="61"/>
        <v>252336.94072549712</v>
      </c>
      <c r="AN78" s="226"/>
      <c r="AO78" s="227">
        <v>2.2598887515451</v>
      </c>
      <c r="AP78" s="225"/>
      <c r="AQ78" s="226">
        <f t="shared" si="62"/>
        <v>2975.7963640513208</v>
      </c>
      <c r="AR78" s="226">
        <f t="shared" si="63"/>
        <v>3.1662165061622197E-3</v>
      </c>
      <c r="AS78" s="228">
        <f>AR78*'DADOS BASE'!W$38</f>
        <v>949785.06091614021</v>
      </c>
      <c r="AT78" s="225"/>
      <c r="AU78" s="227">
        <v>21.066069906222999</v>
      </c>
      <c r="AV78" s="227">
        <v>19.75</v>
      </c>
      <c r="AW78" s="226">
        <f t="shared" si="64"/>
        <v>5.2665174765557499</v>
      </c>
      <c r="AX78" s="226">
        <f>IF($AW$11&gt;0,(AW78/$AW$11)*'DADOS BASE'!W$40,0)</f>
        <v>946.26876521271458</v>
      </c>
      <c r="AY78" s="226">
        <f t="shared" si="65"/>
        <v>11.901743605084024</v>
      </c>
      <c r="AZ78" s="226">
        <f t="shared" si="66"/>
        <v>6.224649452816805E-4</v>
      </c>
      <c r="BA78" s="226">
        <f>AZ78*'DADOS BASE'!W$41</f>
        <v>4598.6799927110997</v>
      </c>
      <c r="BB78" s="225"/>
      <c r="BC78" s="227">
        <v>240</v>
      </c>
      <c r="BD78" s="226">
        <f>IF($BC$11&gt;0,(BC78/$BC$11)*'DADOS BASE'!W$39,0)</f>
        <v>1296768.9630033572</v>
      </c>
      <c r="BE78" s="187"/>
    </row>
    <row r="79" spans="2:57" x14ac:dyDescent="0.3">
      <c r="B79" s="184" t="s">
        <v>210</v>
      </c>
      <c r="C79" s="184" t="s">
        <v>217</v>
      </c>
      <c r="D79" s="184" t="s">
        <v>92</v>
      </c>
      <c r="E79" s="184">
        <v>2015</v>
      </c>
      <c r="F79" s="185"/>
      <c r="H79" s="186">
        <f ca="1">IF(AND(E79&gt;=2018,SUMIF('DADOS BASE'!$C$101:$D$104,D79,'DADOS BASE'!$H$101:$H$104)&gt;J79),
SUMIF('DADOS BASE'!$C$101:$D$104,D79,'DADOS BASE'!$H$101:$H$104),
J79)</f>
        <v>1224500.4189009077</v>
      </c>
      <c r="J79" s="186">
        <f t="shared" si="55"/>
        <v>1224500.4189009077</v>
      </c>
      <c r="K79" s="186"/>
      <c r="L79" s="188">
        <v>1206.4113132232001</v>
      </c>
      <c r="M79" s="186">
        <f t="shared" si="56"/>
        <v>9.4118619689822645E-4</v>
      </c>
      <c r="N79" s="186">
        <f>L79*'DADOS BASE'!$I$29</f>
        <v>1187996.8086762677</v>
      </c>
      <c r="O79" s="187"/>
      <c r="P79" s="188">
        <v>0</v>
      </c>
      <c r="Q79" s="186">
        <f>P79*'DADOS BASE'!$I$33</f>
        <v>0</v>
      </c>
      <c r="R79" s="186"/>
      <c r="S79" s="188">
        <v>46.336791507847003</v>
      </c>
      <c r="T79" s="186">
        <f>S79*'DADOS BASE'!$I$37</f>
        <v>36503.61022464007</v>
      </c>
      <c r="U79" s="186"/>
      <c r="V79" s="186">
        <f t="shared" si="57"/>
        <v>36503.61022464007</v>
      </c>
      <c r="W79" s="187"/>
      <c r="X79" s="186"/>
      <c r="Y79" s="186"/>
      <c r="Z79" s="185"/>
      <c r="AA79" s="186"/>
      <c r="AB79" s="186"/>
      <c r="AC79" s="186"/>
      <c r="AD79" s="186"/>
      <c r="AE79" s="188">
        <v>336</v>
      </c>
      <c r="AF79" s="188">
        <v>325.00906461572998</v>
      </c>
      <c r="AG79" s="186" t="s">
        <v>155</v>
      </c>
      <c r="AH79" s="189">
        <v>0.62</v>
      </c>
      <c r="AI79" s="183">
        <f t="shared" si="58"/>
        <v>201.50562006175258</v>
      </c>
      <c r="AJ79" s="186">
        <f t="shared" si="59"/>
        <v>-0.13801764187371382</v>
      </c>
      <c r="AK79" s="186"/>
      <c r="AL79" s="186">
        <f t="shared" si="60"/>
        <v>204.47488374621082</v>
      </c>
      <c r="AM79" s="187">
        <f t="shared" si="61"/>
        <v>66456.190703766115</v>
      </c>
      <c r="AN79" s="186"/>
      <c r="AO79" s="188">
        <v>2.1378600823045</v>
      </c>
      <c r="AQ79" s="186">
        <f t="shared" si="62"/>
        <v>694.82390562909302</v>
      </c>
      <c r="AR79" s="186">
        <f t="shared" si="63"/>
        <v>7.3928543816212356E-4</v>
      </c>
      <c r="AS79" s="187">
        <f>AR79*'DADOS BASE'!W$38</f>
        <v>221766.9775748598</v>
      </c>
      <c r="AU79" s="188">
        <v>24.839279539766999</v>
      </c>
      <c r="AV79" s="188">
        <v>88.25</v>
      </c>
      <c r="AW79" s="186">
        <f t="shared" si="64"/>
        <v>6.2098198849417496</v>
      </c>
      <c r="AX79" s="186">
        <f>IF($AW$11&gt;0,(AW79/$AW$11)*'DADOS BASE'!W$40,0)</f>
        <v>1115.7579217908797</v>
      </c>
      <c r="AY79" s="186">
        <f t="shared" si="65"/>
        <v>13.27572605031769</v>
      </c>
      <c r="AZ79" s="186">
        <f t="shared" si="66"/>
        <v>6.9432466062834854E-4</v>
      </c>
      <c r="BA79" s="186">
        <f>AZ79*'DADOS BASE'!W$41</f>
        <v>5129.5690616483007</v>
      </c>
      <c r="BC79" s="188">
        <v>0</v>
      </c>
      <c r="BD79" s="186">
        <f>IF($BC$11&gt;0,(BC79/$BC$11)*'DADOS BASE'!W$39,0)</f>
        <v>0</v>
      </c>
      <c r="BE79" s="187"/>
    </row>
    <row r="80" spans="2:57" x14ac:dyDescent="0.3">
      <c r="B80" s="223" t="s">
        <v>210</v>
      </c>
      <c r="C80" s="223" t="s">
        <v>218</v>
      </c>
      <c r="D80" s="223" t="s">
        <v>92</v>
      </c>
      <c r="E80" s="223">
        <v>2011</v>
      </c>
      <c r="F80" s="224"/>
      <c r="G80" s="225"/>
      <c r="H80" s="226">
        <f ca="1">IF(AND(E80&gt;=2018,SUMIF('DADOS BASE'!$C$101:$D$104,D80,'DADOS BASE'!$H$101:$H$104)&gt;J80),
SUMIF('DADOS BASE'!$C$101:$D$104,D80,'DADOS BASE'!$H$101:$H$104),
J80)</f>
        <v>1951523.727906618</v>
      </c>
      <c r="I80" s="225"/>
      <c r="J80" s="226">
        <f t="shared" si="55"/>
        <v>1951523.727906618</v>
      </c>
      <c r="K80" s="226"/>
      <c r="L80" s="227">
        <v>1942.3423482111</v>
      </c>
      <c r="M80" s="226">
        <f t="shared" si="56"/>
        <v>1.5153254845588098E-3</v>
      </c>
      <c r="N80" s="226">
        <f>L80*'DADOS BASE'!$I$29</f>
        <v>1912694.6885689897</v>
      </c>
      <c r="O80" s="228"/>
      <c r="P80" s="227">
        <v>0</v>
      </c>
      <c r="Q80" s="226">
        <f>P80*'DADOS BASE'!$I$33</f>
        <v>0</v>
      </c>
      <c r="R80" s="226"/>
      <c r="S80" s="227">
        <v>49.288634443702001</v>
      </c>
      <c r="T80" s="226">
        <f>S80*'DADOS BASE'!$I$37</f>
        <v>38829.039337628186</v>
      </c>
      <c r="U80" s="226"/>
      <c r="V80" s="226">
        <f t="shared" si="57"/>
        <v>38829.039337628186</v>
      </c>
      <c r="W80" s="228"/>
      <c r="X80" s="226"/>
      <c r="Y80" s="226"/>
      <c r="Z80" s="224"/>
      <c r="AA80" s="226"/>
      <c r="AB80" s="226"/>
      <c r="AC80" s="226"/>
      <c r="AD80" s="226"/>
      <c r="AE80" s="227">
        <v>896</v>
      </c>
      <c r="AF80" s="227">
        <v>753.22723292972</v>
      </c>
      <c r="AG80" s="226" t="s">
        <v>155</v>
      </c>
      <c r="AH80" s="229">
        <v>0.66700000000000004</v>
      </c>
      <c r="AI80" s="225">
        <f t="shared" si="58"/>
        <v>502.40256436412329</v>
      </c>
      <c r="AJ80" s="226">
        <f t="shared" si="59"/>
        <v>-7.4624320908963163E-2</v>
      </c>
      <c r="AK80" s="226"/>
      <c r="AL80" s="226">
        <f t="shared" si="60"/>
        <v>193.08460168238315</v>
      </c>
      <c r="AM80" s="228">
        <f t="shared" si="61"/>
        <v>145436.58024655862</v>
      </c>
      <c r="AN80" s="226"/>
      <c r="AO80" s="227">
        <v>2.1160830090790999</v>
      </c>
      <c r="AP80" s="225"/>
      <c r="AQ80" s="226">
        <f t="shared" si="62"/>
        <v>1593.891349578246</v>
      </c>
      <c r="AR80" s="226">
        <f t="shared" si="63"/>
        <v>1.6958838854125252E-3</v>
      </c>
      <c r="AS80" s="228">
        <f>AR80*'DADOS BASE'!W$38</f>
        <v>508722.37456863007</v>
      </c>
      <c r="AT80" s="225"/>
      <c r="AU80" s="227">
        <v>49.288634443702001</v>
      </c>
      <c r="AV80" s="227">
        <v>64.5</v>
      </c>
      <c r="AW80" s="226">
        <f t="shared" si="64"/>
        <v>12.3221586109255</v>
      </c>
      <c r="AX80" s="226">
        <f>IF($AW$11&gt;0,(AW80/$AW$11)*'DADOS BASE'!W$40,0)</f>
        <v>2214.00078238063</v>
      </c>
      <c r="AY80" s="226">
        <f t="shared" si="65"/>
        <v>26.074710471757175</v>
      </c>
      <c r="AZ80" s="226">
        <f t="shared" si="66"/>
        <v>1.3637155836649707E-3</v>
      </c>
      <c r="BA80" s="226">
        <f>AZ80*'DADOS BASE'!W$41</f>
        <v>10074.931316028615</v>
      </c>
      <c r="BB80" s="225"/>
      <c r="BC80" s="227">
        <v>0</v>
      </c>
      <c r="BD80" s="226">
        <f>IF($BC$11&gt;0,(BC80/$BC$11)*'DADOS BASE'!W$39,0)</f>
        <v>0</v>
      </c>
      <c r="BE80" s="187"/>
    </row>
    <row r="81" spans="2:57" x14ac:dyDescent="0.3">
      <c r="B81" s="184" t="s">
        <v>210</v>
      </c>
      <c r="C81" s="184" t="s">
        <v>219</v>
      </c>
      <c r="D81" s="184" t="s">
        <v>92</v>
      </c>
      <c r="E81" s="184">
        <v>2010</v>
      </c>
      <c r="F81" s="185"/>
      <c r="H81" s="186">
        <f ca="1">IF(AND(E81&gt;=2018,SUMIF('DADOS BASE'!$C$101:$D$104,D81,'DADOS BASE'!$H$101:$H$104)&gt;J81),
SUMIF('DADOS BASE'!$C$101:$D$104,D81,'DADOS BASE'!$H$101:$H$104),
J81)</f>
        <v>3487449.8072951878</v>
      </c>
      <c r="J81" s="186">
        <f t="shared" si="55"/>
        <v>3487449.8072951878</v>
      </c>
      <c r="K81" s="186"/>
      <c r="L81" s="188">
        <v>3517.8800813112998</v>
      </c>
      <c r="M81" s="186">
        <f t="shared" si="56"/>
        <v>2.7444870075259615E-3</v>
      </c>
      <c r="N81" s="186">
        <f>L81*'DADOS BASE'!$I$29</f>
        <v>3464183.6197124813</v>
      </c>
      <c r="O81" s="187"/>
      <c r="P81" s="188">
        <v>0</v>
      </c>
      <c r="Q81" s="186">
        <f>P81*'DADOS BASE'!$I$33</f>
        <v>0</v>
      </c>
      <c r="R81" s="186"/>
      <c r="S81" s="188">
        <v>29.533530425289999</v>
      </c>
      <c r="T81" s="186">
        <f>S81*'DADOS BASE'!$I$37</f>
        <v>23266.1875827066</v>
      </c>
      <c r="U81" s="186"/>
      <c r="V81" s="186">
        <f t="shared" si="57"/>
        <v>23266.1875827066</v>
      </c>
      <c r="W81" s="187"/>
      <c r="X81" s="186"/>
      <c r="Y81" s="186"/>
      <c r="Z81" s="185"/>
      <c r="AA81" s="186"/>
      <c r="AB81" s="186"/>
      <c r="AC81" s="186"/>
      <c r="AD81" s="186"/>
      <c r="AE81" s="188">
        <v>1437</v>
      </c>
      <c r="AF81" s="188">
        <v>1178.0206273209999</v>
      </c>
      <c r="AG81" s="186" t="s">
        <v>155</v>
      </c>
      <c r="AH81" s="189">
        <v>0.57399999999999995</v>
      </c>
      <c r="AI81" s="183">
        <f t="shared" si="58"/>
        <v>676.18384008225394</v>
      </c>
      <c r="AJ81" s="186">
        <f t="shared" si="59"/>
        <v>-0.20006216877538469</v>
      </c>
      <c r="AK81" s="186"/>
      <c r="AL81" s="186">
        <f t="shared" si="60"/>
        <v>215.62281938314851</v>
      </c>
      <c r="AM81" s="187">
        <f t="shared" si="61"/>
        <v>254008.12895445927</v>
      </c>
      <c r="AN81" s="186"/>
      <c r="AO81" s="188">
        <v>2.0961904761904999</v>
      </c>
      <c r="AQ81" s="186">
        <f t="shared" si="62"/>
        <v>2469.3556197462381</v>
      </c>
      <c r="AR81" s="186">
        <f t="shared" si="63"/>
        <v>2.6273688002564338E-3</v>
      </c>
      <c r="AS81" s="187">
        <f>AR81*'DADOS BASE'!W$38</f>
        <v>788144.34551269771</v>
      </c>
      <c r="AU81" s="188">
        <v>15.951218239086</v>
      </c>
      <c r="AV81" s="188">
        <v>34</v>
      </c>
      <c r="AW81" s="186">
        <f t="shared" si="64"/>
        <v>3.9878045597714999</v>
      </c>
      <c r="AX81" s="186">
        <f>IF($AW$11&gt;0,(AW81/$AW$11)*'DADOS BASE'!W$40,0)</f>
        <v>716.51426459377569</v>
      </c>
      <c r="AY81" s="186">
        <f t="shared" si="65"/>
        <v>8.3591979391020672</v>
      </c>
      <c r="AZ81" s="186">
        <f t="shared" si="66"/>
        <v>4.3718868935634163E-4</v>
      </c>
      <c r="BA81" s="186">
        <f>AZ81*'DADOS BASE'!W$41</f>
        <v>3229.886106875947</v>
      </c>
      <c r="BC81" s="188">
        <v>181.5</v>
      </c>
      <c r="BD81" s="186">
        <f>IF($BC$11&gt;0,(BC81/$BC$11)*'DADOS BASE'!W$39,0)</f>
        <v>980681.52827128884</v>
      </c>
      <c r="BE81" s="187"/>
    </row>
    <row r="82" spans="2:57" x14ac:dyDescent="0.3">
      <c r="B82" s="223" t="s">
        <v>210</v>
      </c>
      <c r="C82" s="223" t="s">
        <v>220</v>
      </c>
      <c r="D82" s="223" t="s">
        <v>92</v>
      </c>
      <c r="E82" s="223">
        <v>2010</v>
      </c>
      <c r="F82" s="224"/>
      <c r="G82" s="225"/>
      <c r="H82" s="226">
        <f ca="1">IF(AND(E82&gt;=2018,SUMIF('DADOS BASE'!$C$101:$D$104,D82,'DADOS BASE'!$H$101:$H$104)&gt;J82),
SUMIF('DADOS BASE'!$C$101:$D$104,D82,'DADOS BASE'!$H$101:$H$104),
J82)</f>
        <v>2633529.7192625115</v>
      </c>
      <c r="I82" s="225"/>
      <c r="J82" s="226">
        <f t="shared" si="55"/>
        <v>2633529.7192625115</v>
      </c>
      <c r="K82" s="226"/>
      <c r="L82" s="227">
        <v>2428.4346672667002</v>
      </c>
      <c r="M82" s="226">
        <f t="shared" si="56"/>
        <v>1.8945521845232325E-3</v>
      </c>
      <c r="N82" s="226">
        <f>L82*'DADOS BASE'!$I$29</f>
        <v>2391367.3580230265</v>
      </c>
      <c r="O82" s="228"/>
      <c r="P82" s="227">
        <v>0</v>
      </c>
      <c r="Q82" s="226">
        <f>P82*'DADOS BASE'!$I$33</f>
        <v>0</v>
      </c>
      <c r="R82" s="226"/>
      <c r="S82" s="227">
        <v>307.39498846138002</v>
      </c>
      <c r="T82" s="226">
        <f>S82*'DADOS BASE'!$I$37</f>
        <v>242162.36123948504</v>
      </c>
      <c r="U82" s="226"/>
      <c r="V82" s="226">
        <f t="shared" si="57"/>
        <v>242162.36123948504</v>
      </c>
      <c r="W82" s="228"/>
      <c r="X82" s="226"/>
      <c r="Y82" s="226"/>
      <c r="Z82" s="224"/>
      <c r="AA82" s="226"/>
      <c r="AB82" s="226"/>
      <c r="AC82" s="226"/>
      <c r="AD82" s="226"/>
      <c r="AE82" s="227">
        <v>1171</v>
      </c>
      <c r="AF82" s="227">
        <v>719.75292523421001</v>
      </c>
      <c r="AG82" s="226" t="s">
        <v>155</v>
      </c>
      <c r="AH82" s="229">
        <v>0.66600000000000004</v>
      </c>
      <c r="AI82" s="225">
        <f t="shared" si="58"/>
        <v>479.35544820598392</v>
      </c>
      <c r="AJ82" s="226">
        <f t="shared" si="59"/>
        <v>-7.5973114972042968E-2</v>
      </c>
      <c r="AK82" s="226"/>
      <c r="AL82" s="226">
        <f t="shared" si="60"/>
        <v>193.3269481092731</v>
      </c>
      <c r="AM82" s="228">
        <f t="shared" si="61"/>
        <v>139147.63642825163</v>
      </c>
      <c r="AN82" s="226"/>
      <c r="AO82" s="227">
        <v>2.2129057187017001</v>
      </c>
      <c r="AP82" s="225"/>
      <c r="AQ82" s="226">
        <f t="shared" si="62"/>
        <v>1592.7453643030606</v>
      </c>
      <c r="AR82" s="226">
        <f t="shared" si="63"/>
        <v>1.6946645689505711E-3</v>
      </c>
      <c r="AS82" s="228">
        <f>AR82*'DADOS BASE'!W$38</f>
        <v>508356.61039620556</v>
      </c>
      <c r="AT82" s="225"/>
      <c r="AU82" s="227">
        <v>175.36702071325001</v>
      </c>
      <c r="AV82" s="227">
        <v>226</v>
      </c>
      <c r="AW82" s="226">
        <f t="shared" si="64"/>
        <v>43.841755178312503</v>
      </c>
      <c r="AX82" s="226">
        <f>IF($AW$11&gt;0,(AW82/$AW$11)*'DADOS BASE'!W$40,0)</f>
        <v>7877.3276120354576</v>
      </c>
      <c r="AY82" s="226">
        <f t="shared" si="65"/>
        <v>97.017670752007604</v>
      </c>
      <c r="AZ82" s="226">
        <f t="shared" si="66"/>
        <v>5.0740547872504911E-3</v>
      </c>
      <c r="BA82" s="226">
        <f>AZ82*'DADOS BASE'!W$41</f>
        <v>37486.374789329908</v>
      </c>
      <c r="BB82" s="225"/>
      <c r="BC82" s="227">
        <v>0</v>
      </c>
      <c r="BD82" s="226">
        <f>IF($BC$11&gt;0,(BC82/$BC$11)*'DADOS BASE'!W$39,0)</f>
        <v>0</v>
      </c>
      <c r="BE82" s="187"/>
    </row>
    <row r="83" spans="2:57" x14ac:dyDescent="0.3">
      <c r="B83" s="184" t="s">
        <v>210</v>
      </c>
      <c r="C83" s="184" t="s">
        <v>221</v>
      </c>
      <c r="D83" s="184" t="s">
        <v>92</v>
      </c>
      <c r="E83" s="184">
        <v>2015</v>
      </c>
      <c r="F83" s="185"/>
      <c r="H83" s="186">
        <f ca="1">IF(AND(E83&gt;=2018,SUMIF('DADOS BASE'!$C$101:$D$104,D83,'DADOS BASE'!$H$101:$H$104)&gt;J83),
SUMIF('DADOS BASE'!$C$101:$D$104,D83,'DADOS BASE'!$H$101:$H$104),
J83)</f>
        <v>1052739.3707375058</v>
      </c>
      <c r="J83" s="186">
        <f t="shared" si="55"/>
        <v>1052739.3707375058</v>
      </c>
      <c r="K83" s="186"/>
      <c r="L83" s="188">
        <v>1042.9324846105001</v>
      </c>
      <c r="M83" s="186">
        <f t="shared" si="56"/>
        <v>8.1364759104390828E-4</v>
      </c>
      <c r="N83" s="186">
        <f>L83*'DADOS BASE'!$I$29</f>
        <v>1027013.2995286785</v>
      </c>
      <c r="O83" s="187"/>
      <c r="P83" s="188">
        <v>0</v>
      </c>
      <c r="Q83" s="186">
        <f>P83*'DADOS BASE'!$I$33</f>
        <v>0</v>
      </c>
      <c r="R83" s="186"/>
      <c r="S83" s="188">
        <v>32.656046637129997</v>
      </c>
      <c r="T83" s="186">
        <f>S83*'DADOS BASE'!$I$37</f>
        <v>25726.071208827416</v>
      </c>
      <c r="U83" s="186"/>
      <c r="V83" s="186">
        <f t="shared" si="57"/>
        <v>25726.071208827416</v>
      </c>
      <c r="W83" s="187"/>
      <c r="X83" s="186"/>
      <c r="Y83" s="186"/>
      <c r="Z83" s="185"/>
      <c r="AA83" s="186"/>
      <c r="AB83" s="186"/>
      <c r="AC83" s="186"/>
      <c r="AD83" s="186"/>
      <c r="AE83" s="188">
        <v>593</v>
      </c>
      <c r="AF83" s="188">
        <v>353.01660782984999</v>
      </c>
      <c r="AG83" s="186" t="s">
        <v>155</v>
      </c>
      <c r="AH83" s="189">
        <v>0.63400000000000001</v>
      </c>
      <c r="AI83" s="183">
        <f t="shared" si="58"/>
        <v>223.81252936412488</v>
      </c>
      <c r="AJ83" s="186">
        <f t="shared" si="59"/>
        <v>-0.11913452499059661</v>
      </c>
      <c r="AK83" s="186"/>
      <c r="AL83" s="186">
        <f t="shared" si="60"/>
        <v>201.08203376975149</v>
      </c>
      <c r="AM83" s="187">
        <f t="shared" si="61"/>
        <v>70985.297456925007</v>
      </c>
      <c r="AN83" s="186"/>
      <c r="AO83" s="188">
        <v>1.9927884615385001</v>
      </c>
      <c r="AQ83" s="186">
        <f t="shared" si="62"/>
        <v>703.48742281478678</v>
      </c>
      <c r="AR83" s="186">
        <f t="shared" si="63"/>
        <v>7.4850333070548933E-4</v>
      </c>
      <c r="AS83" s="187">
        <f>AR83*'DADOS BASE'!W$38</f>
        <v>224532.11274921687</v>
      </c>
      <c r="AU83" s="188">
        <v>21.640304273169999</v>
      </c>
      <c r="AV83" s="188">
        <v>44.75</v>
      </c>
      <c r="AW83" s="186">
        <f t="shared" si="64"/>
        <v>5.4100760682924998</v>
      </c>
      <c r="AX83" s="186">
        <f>IF($AW$11&gt;0,(AW83/$AW$11)*'DADOS BASE'!W$40,0)</f>
        <v>972.0628524711608</v>
      </c>
      <c r="AY83" s="186">
        <f t="shared" si="65"/>
        <v>10.781137164938867</v>
      </c>
      <c r="AZ83" s="186">
        <f t="shared" si="66"/>
        <v>5.6385687493564407E-4</v>
      </c>
      <c r="BA83" s="186">
        <f>AZ83*'DADOS BASE'!W$41</f>
        <v>4165.6921392509212</v>
      </c>
      <c r="BC83" s="188">
        <v>0</v>
      </c>
      <c r="BD83" s="186">
        <f>IF($BC$11&gt;0,(BC83/$BC$11)*'DADOS BASE'!W$39,0)</f>
        <v>0</v>
      </c>
      <c r="BE83" s="187"/>
    </row>
    <row r="84" spans="2:57" x14ac:dyDescent="0.3">
      <c r="B84" s="223" t="s">
        <v>210</v>
      </c>
      <c r="C84" s="223" t="s">
        <v>222</v>
      </c>
      <c r="D84" s="223" t="s">
        <v>92</v>
      </c>
      <c r="E84" s="223">
        <v>2011</v>
      </c>
      <c r="F84" s="224"/>
      <c r="G84" s="225"/>
      <c r="H84" s="226">
        <f ca="1">IF(AND(E84&gt;=2018,SUMIF('DADOS BASE'!$C$101:$D$104,D84,'DADOS BASE'!$H$101:$H$104)&gt;J84),
SUMIF('DADOS BASE'!$C$101:$D$104,D84,'DADOS BASE'!$H$101:$H$104),
J84)</f>
        <v>1672806.1588168563</v>
      </c>
      <c r="I84" s="225"/>
      <c r="J84" s="226">
        <f t="shared" si="55"/>
        <v>1672806.1588168563</v>
      </c>
      <c r="K84" s="226"/>
      <c r="L84" s="227">
        <v>1580.9875218102</v>
      </c>
      <c r="M84" s="226">
        <f t="shared" si="56"/>
        <v>1.2334131955548033E-3</v>
      </c>
      <c r="N84" s="226">
        <f>L84*'DADOS BASE'!$I$29</f>
        <v>1556855.5349911812</v>
      </c>
      <c r="O84" s="228"/>
      <c r="P84" s="227">
        <v>0</v>
      </c>
      <c r="Q84" s="226">
        <f>P84*'DADOS BASE'!$I$33</f>
        <v>0</v>
      </c>
      <c r="R84" s="226"/>
      <c r="S84" s="227">
        <v>147.18489070947999</v>
      </c>
      <c r="T84" s="226">
        <f>S84*'DADOS BASE'!$I$37</f>
        <v>115950.62382567511</v>
      </c>
      <c r="U84" s="226"/>
      <c r="V84" s="226">
        <f t="shared" si="57"/>
        <v>115950.62382567511</v>
      </c>
      <c r="W84" s="228"/>
      <c r="X84" s="226"/>
      <c r="Y84" s="226"/>
      <c r="Z84" s="224"/>
      <c r="AA84" s="226"/>
      <c r="AB84" s="226"/>
      <c r="AC84" s="226"/>
      <c r="AD84" s="226"/>
      <c r="AE84" s="227">
        <v>796</v>
      </c>
      <c r="AF84" s="227">
        <v>534.66580516204999</v>
      </c>
      <c r="AG84" s="226" t="s">
        <v>155</v>
      </c>
      <c r="AH84" s="229">
        <v>0.68500000000000005</v>
      </c>
      <c r="AI84" s="225">
        <f t="shared" si="58"/>
        <v>366.2460765360043</v>
      </c>
      <c r="AJ84" s="226">
        <f t="shared" si="59"/>
        <v>-5.0346027773526737E-2</v>
      </c>
      <c r="AK84" s="226"/>
      <c r="AL84" s="226">
        <f t="shared" si="60"/>
        <v>188.72236599836404</v>
      </c>
      <c r="AM84" s="228">
        <f t="shared" si="61"/>
        <v>100903.39576860239</v>
      </c>
      <c r="AN84" s="226"/>
      <c r="AO84" s="227">
        <v>2.0843293492695998</v>
      </c>
      <c r="AP84" s="225"/>
      <c r="AQ84" s="226">
        <f t="shared" si="62"/>
        <v>1114.4196297501223</v>
      </c>
      <c r="AR84" s="226">
        <f t="shared" si="63"/>
        <v>1.1857309421879428E-3</v>
      </c>
      <c r="AS84" s="228">
        <f>AR84*'DADOS BASE'!W$38</f>
        <v>355689.36393461772</v>
      </c>
      <c r="AT84" s="225"/>
      <c r="AU84" s="227">
        <v>86.405904185059001</v>
      </c>
      <c r="AV84" s="227">
        <v>109.5</v>
      </c>
      <c r="AW84" s="226">
        <f t="shared" si="64"/>
        <v>21.60147604626475</v>
      </c>
      <c r="AX84" s="226">
        <f>IF($AW$11&gt;0,(AW84/$AW$11)*'DADOS BASE'!W$40,0)</f>
        <v>3881.2748948550075</v>
      </c>
      <c r="AY84" s="226">
        <f t="shared" si="65"/>
        <v>45.024590510773855</v>
      </c>
      <c r="AZ84" s="226">
        <f t="shared" si="66"/>
        <v>2.3548002879718445E-3</v>
      </c>
      <c r="BA84" s="226">
        <f>AZ84*'DADOS BASE'!W$41</f>
        <v>17396.920185161729</v>
      </c>
      <c r="BB84" s="225"/>
      <c r="BC84" s="227">
        <v>0</v>
      </c>
      <c r="BD84" s="226">
        <f>IF($BC$11&gt;0,(BC84/$BC$11)*'DADOS BASE'!W$39,0)</f>
        <v>0</v>
      </c>
      <c r="BE84" s="187"/>
    </row>
    <row r="85" spans="2:57" x14ac:dyDescent="0.3">
      <c r="B85" s="184" t="s">
        <v>210</v>
      </c>
      <c r="C85" s="184" t="s">
        <v>223</v>
      </c>
      <c r="D85" s="184" t="s">
        <v>92</v>
      </c>
      <c r="E85" s="184">
        <v>2011</v>
      </c>
      <c r="F85" s="185"/>
      <c r="H85" s="186">
        <f ca="1">IF(AND(E85&gt;=2018,SUMIF('DADOS BASE'!$C$101:$D$104,D85,'DADOS BASE'!$H$101:$H$104)&gt;J85),
SUMIF('DADOS BASE'!$C$101:$D$104,D85,'DADOS BASE'!$H$101:$H$104),
J85)</f>
        <v>1147681.4077089324</v>
      </c>
      <c r="J85" s="186">
        <f t="shared" si="55"/>
        <v>1147681.4077089324</v>
      </c>
      <c r="K85" s="186"/>
      <c r="L85" s="188">
        <v>1141.9501292018001</v>
      </c>
      <c r="M85" s="186">
        <f t="shared" si="56"/>
        <v>8.9089656850062414E-4</v>
      </c>
      <c r="N85" s="186">
        <f>L85*'DADOS BASE'!$I$29</f>
        <v>1124519.5517394799</v>
      </c>
      <c r="O85" s="187"/>
      <c r="P85" s="188">
        <v>0</v>
      </c>
      <c r="Q85" s="186">
        <f>P85*'DADOS BASE'!$I$33</f>
        <v>0</v>
      </c>
      <c r="R85" s="186"/>
      <c r="S85" s="188">
        <v>29.401094422898002</v>
      </c>
      <c r="T85" s="186">
        <f>S85*'DADOS BASE'!$I$37</f>
        <v>23161.855969452619</v>
      </c>
      <c r="U85" s="186"/>
      <c r="V85" s="186">
        <f t="shared" si="57"/>
        <v>23161.855969452619</v>
      </c>
      <c r="W85" s="187"/>
      <c r="X85" s="186"/>
      <c r="Y85" s="186"/>
      <c r="Z85" s="185"/>
      <c r="AA85" s="186"/>
      <c r="AB85" s="186"/>
      <c r="AC85" s="186"/>
      <c r="AD85" s="186"/>
      <c r="AE85" s="188">
        <v>767</v>
      </c>
      <c r="AF85" s="188">
        <v>525.26332353568</v>
      </c>
      <c r="AG85" s="186" t="s">
        <v>155</v>
      </c>
      <c r="AH85" s="189">
        <v>0.61599999999999999</v>
      </c>
      <c r="AI85" s="183">
        <f t="shared" si="58"/>
        <v>323.56220729797889</v>
      </c>
      <c r="AJ85" s="186">
        <f t="shared" si="59"/>
        <v>-0.14341281812603301</v>
      </c>
      <c r="AK85" s="186"/>
      <c r="AL85" s="186">
        <f t="shared" si="60"/>
        <v>205.4442694537706</v>
      </c>
      <c r="AM85" s="187">
        <f t="shared" si="61"/>
        <v>107912.33977464733</v>
      </c>
      <c r="AN85" s="186"/>
      <c r="AO85" s="188">
        <v>2.1544943820225</v>
      </c>
      <c r="AQ85" s="186">
        <f t="shared" si="62"/>
        <v>1131.6768796400893</v>
      </c>
      <c r="AR85" s="186">
        <f t="shared" si="63"/>
        <v>1.2040924773093148E-3</v>
      </c>
      <c r="AS85" s="187">
        <f>AR85*'DADOS BASE'!W$38</f>
        <v>361197.36116722162</v>
      </c>
      <c r="AU85" s="188">
        <v>16.809604953402001</v>
      </c>
      <c r="AV85" s="188">
        <v>28.5</v>
      </c>
      <c r="AW85" s="186">
        <f t="shared" si="64"/>
        <v>4.2024012383505003</v>
      </c>
      <c r="AX85" s="186">
        <f>IF($AW$11&gt;0,(AW85/$AW$11)*'DADOS BASE'!W$40,0)</f>
        <v>755.07221773105516</v>
      </c>
      <c r="AY85" s="186">
        <f t="shared" si="65"/>
        <v>9.0540498590305489</v>
      </c>
      <c r="AZ85" s="186">
        <f t="shared" si="66"/>
        <v>4.7352966397895026E-4</v>
      </c>
      <c r="BA85" s="186">
        <f>AZ85*'DADOS BASE'!W$41</f>
        <v>3498.3679132481693</v>
      </c>
      <c r="BC85" s="188">
        <v>231</v>
      </c>
      <c r="BD85" s="186">
        <f>IF($BC$11&gt;0,(BC85/$BC$11)*'DADOS BASE'!W$39,0)</f>
        <v>1248140.1268907313</v>
      </c>
      <c r="BE85" s="187"/>
    </row>
    <row r="86" spans="2:57" x14ac:dyDescent="0.3">
      <c r="B86" s="223" t="s">
        <v>210</v>
      </c>
      <c r="C86" s="223" t="s">
        <v>224</v>
      </c>
      <c r="D86" s="223" t="s">
        <v>92</v>
      </c>
      <c r="E86" s="223">
        <v>2011</v>
      </c>
      <c r="F86" s="224"/>
      <c r="G86" s="225"/>
      <c r="H86" s="226">
        <f ca="1">IF(AND(E86&gt;=2018,SUMIF('DADOS BASE'!$C$101:$D$104,D86,'DADOS BASE'!$H$101:$H$104)&gt;J86),
SUMIF('DADOS BASE'!$C$101:$D$104,D86,'DADOS BASE'!$H$101:$H$104),
J86)</f>
        <v>2626115.5649971804</v>
      </c>
      <c r="I86" s="225"/>
      <c r="J86" s="226">
        <f t="shared" si="55"/>
        <v>2626115.5649971804</v>
      </c>
      <c r="K86" s="226"/>
      <c r="L86" s="227">
        <v>2625.9802002961001</v>
      </c>
      <c r="M86" s="226">
        <f t="shared" si="56"/>
        <v>2.0486680543830961E-3</v>
      </c>
      <c r="N86" s="226">
        <f>L86*'DADOS BASE'!$I$29</f>
        <v>2585897.5818653158</v>
      </c>
      <c r="O86" s="228"/>
      <c r="P86" s="227">
        <v>0</v>
      </c>
      <c r="Q86" s="226">
        <f>P86*'DADOS BASE'!$I$33</f>
        <v>0</v>
      </c>
      <c r="R86" s="226"/>
      <c r="S86" s="227">
        <v>51.051725782163999</v>
      </c>
      <c r="T86" s="226">
        <f>S86*'DADOS BASE'!$I$37</f>
        <v>40217.983131864712</v>
      </c>
      <c r="U86" s="226"/>
      <c r="V86" s="226">
        <f t="shared" si="57"/>
        <v>40217.983131864712</v>
      </c>
      <c r="W86" s="228"/>
      <c r="X86" s="226"/>
      <c r="Y86" s="226"/>
      <c r="Z86" s="224"/>
      <c r="AA86" s="226"/>
      <c r="AB86" s="226"/>
      <c r="AC86" s="226"/>
      <c r="AD86" s="226"/>
      <c r="AE86" s="227">
        <v>1131</v>
      </c>
      <c r="AF86" s="227">
        <v>760.80518184359005</v>
      </c>
      <c r="AG86" s="226" t="s">
        <v>155</v>
      </c>
      <c r="AH86" s="229">
        <v>0.623</v>
      </c>
      <c r="AI86" s="225">
        <f t="shared" si="58"/>
        <v>473.98162828855658</v>
      </c>
      <c r="AJ86" s="226">
        <f t="shared" si="59"/>
        <v>-0.13397125968447443</v>
      </c>
      <c r="AK86" s="226"/>
      <c r="AL86" s="226">
        <f t="shared" si="60"/>
        <v>203.74784446554096</v>
      </c>
      <c r="AM86" s="228">
        <f t="shared" si="61"/>
        <v>155012.4158588454</v>
      </c>
      <c r="AN86" s="226"/>
      <c r="AO86" s="227">
        <v>2.1910408432147999</v>
      </c>
      <c r="AP86" s="225"/>
      <c r="AQ86" s="226">
        <f t="shared" si="62"/>
        <v>1666.9552271487687</v>
      </c>
      <c r="AR86" s="226">
        <f t="shared" si="63"/>
        <v>1.7736230943055215E-3</v>
      </c>
      <c r="AS86" s="228">
        <f>AR86*'DADOS BASE'!W$38</f>
        <v>532042.17569729744</v>
      </c>
      <c r="AT86" s="225"/>
      <c r="AU86" s="227">
        <v>37.173865234098002</v>
      </c>
      <c r="AV86" s="227">
        <v>56</v>
      </c>
      <c r="AW86" s="226">
        <f t="shared" si="64"/>
        <v>9.2934663085245006</v>
      </c>
      <c r="AX86" s="226">
        <f>IF($AW$11&gt;0,(AW86/$AW$11)*'DADOS BASE'!W$40,0)</f>
        <v>1669.8163307082973</v>
      </c>
      <c r="AY86" s="226">
        <f t="shared" si="65"/>
        <v>20.362364257017855</v>
      </c>
      <c r="AZ86" s="226">
        <f t="shared" si="66"/>
        <v>1.0649580745157369E-3</v>
      </c>
      <c r="BA86" s="226">
        <f>AZ86*'DADOS BASE'!W$41</f>
        <v>7867.7545257355223</v>
      </c>
      <c r="BB86" s="225"/>
      <c r="BC86" s="227">
        <v>0</v>
      </c>
      <c r="BD86" s="226">
        <f>IF($BC$11&gt;0,(BC86/$BC$11)*'DADOS BASE'!W$39,0)</f>
        <v>0</v>
      </c>
      <c r="BE86" s="187"/>
    </row>
    <row r="87" spans="2:57" x14ac:dyDescent="0.3">
      <c r="B87" s="184" t="s">
        <v>210</v>
      </c>
      <c r="C87" s="184" t="s">
        <v>225</v>
      </c>
      <c r="D87" s="184" t="s">
        <v>92</v>
      </c>
      <c r="E87" s="184">
        <v>2015</v>
      </c>
      <c r="F87" s="185"/>
      <c r="H87" s="186">
        <f ca="1">IF(AND(E87&gt;=2018,SUMIF('DADOS BASE'!$C$101:$D$104,D87,'DADOS BASE'!$H$101:$H$104)&gt;J87),
SUMIF('DADOS BASE'!$C$101:$D$104,D87,'DADOS BASE'!$H$101:$H$104),
J87)</f>
        <v>455879.6618245116</v>
      </c>
      <c r="J87" s="186">
        <f t="shared" si="55"/>
        <v>455879.6618245116</v>
      </c>
      <c r="K87" s="186"/>
      <c r="L87" s="188">
        <v>390.60432643817001</v>
      </c>
      <c r="M87" s="186">
        <f t="shared" si="56"/>
        <v>3.0473139340025278E-4</v>
      </c>
      <c r="N87" s="186">
        <f>L87*'DADOS BASE'!$I$29</f>
        <v>384642.19307087758</v>
      </c>
      <c r="O87" s="187"/>
      <c r="P87" s="188">
        <v>0</v>
      </c>
      <c r="Q87" s="186">
        <f>P87*'DADOS BASE'!$I$33</f>
        <v>0</v>
      </c>
      <c r="R87" s="186"/>
      <c r="S87" s="188">
        <v>90.427103425396993</v>
      </c>
      <c r="T87" s="186">
        <f>S87*'DADOS BASE'!$I$37</f>
        <v>71237.46875363405</v>
      </c>
      <c r="U87" s="186"/>
      <c r="V87" s="186">
        <f t="shared" si="57"/>
        <v>71237.46875363405</v>
      </c>
      <c r="W87" s="187"/>
      <c r="X87" s="186"/>
      <c r="Y87" s="186"/>
      <c r="Z87" s="185"/>
      <c r="AA87" s="186"/>
      <c r="AB87" s="186"/>
      <c r="AC87" s="186"/>
      <c r="AD87" s="186"/>
      <c r="AE87" s="188">
        <v>196</v>
      </c>
      <c r="AF87" s="188">
        <v>155.56274424186</v>
      </c>
      <c r="AG87" s="186" t="s">
        <v>155</v>
      </c>
      <c r="AH87" s="189">
        <v>0.58499999999999996</v>
      </c>
      <c r="AI87" s="183">
        <f t="shared" si="58"/>
        <v>91.004205381488092</v>
      </c>
      <c r="AJ87" s="186">
        <f t="shared" si="59"/>
        <v>-0.18522543408150688</v>
      </c>
      <c r="AK87" s="186"/>
      <c r="AL87" s="186">
        <f t="shared" si="60"/>
        <v>212.95700868735906</v>
      </c>
      <c r="AM87" s="187">
        <f t="shared" si="61"/>
        <v>33128.1766769432</v>
      </c>
      <c r="AN87" s="186"/>
      <c r="AO87" s="188">
        <v>2.2349726775956</v>
      </c>
      <c r="AQ87" s="186">
        <f t="shared" si="62"/>
        <v>347.67848303234933</v>
      </c>
      <c r="AR87" s="186">
        <f t="shared" si="63"/>
        <v>3.6992630447191472E-4</v>
      </c>
      <c r="AS87" s="187">
        <f>AR87*'DADOS BASE'!W$38</f>
        <v>110968.55724917343</v>
      </c>
      <c r="AU87" s="188">
        <v>55.747370273592999</v>
      </c>
      <c r="AV87" s="188">
        <v>79.25</v>
      </c>
      <c r="AW87" s="186">
        <f t="shared" si="64"/>
        <v>13.93684256839825</v>
      </c>
      <c r="AX87" s="186">
        <f>IF($AW$11&gt;0,(AW87/$AW$11)*'DADOS BASE'!W$40,0)</f>
        <v>2504.1213414499157</v>
      </c>
      <c r="AY87" s="186">
        <f t="shared" si="65"/>
        <v>31.148462352321374</v>
      </c>
      <c r="AZ87" s="186">
        <f t="shared" si="66"/>
        <v>1.6290744076745156E-3</v>
      </c>
      <c r="BA87" s="186">
        <f>AZ87*'DADOS BASE'!W$41</f>
        <v>12035.363504398394</v>
      </c>
      <c r="BC87" s="188">
        <v>0</v>
      </c>
      <c r="BD87" s="186">
        <f>IF($BC$11&gt;0,(BC87/$BC$11)*'DADOS BASE'!W$39,0)</f>
        <v>0</v>
      </c>
      <c r="BE87" s="187"/>
    </row>
    <row r="88" spans="2:57" x14ac:dyDescent="0.3">
      <c r="B88" s="223" t="s">
        <v>210</v>
      </c>
      <c r="C88" s="223" t="s">
        <v>226</v>
      </c>
      <c r="D88" s="223" t="s">
        <v>209</v>
      </c>
      <c r="E88" s="223">
        <v>0</v>
      </c>
      <c r="F88" s="224"/>
      <c r="G88" s="225"/>
      <c r="H88" s="226">
        <f ca="1">IF(AND(E88&gt;=2018,SUMIF('DADOS BASE'!$C$101:$D$104,D88,'DADOS BASE'!$H$101:$H$104)&gt;J88),
SUMIF('DADOS BASE'!$C$101:$D$104,D88,'DADOS BASE'!$H$101:$H$104),
J88)</f>
        <v>8187.6081790992521</v>
      </c>
      <c r="I88" s="225"/>
      <c r="J88" s="226">
        <f t="shared" si="55"/>
        <v>8187.6081790992521</v>
      </c>
      <c r="K88" s="226"/>
      <c r="L88" s="227">
        <v>0</v>
      </c>
      <c r="M88" s="226">
        <f t="shared" si="56"/>
        <v>0</v>
      </c>
      <c r="N88" s="226">
        <f>L88*'DADOS BASE'!$I$29</f>
        <v>0</v>
      </c>
      <c r="O88" s="228"/>
      <c r="P88" s="227">
        <v>0</v>
      </c>
      <c r="Q88" s="226">
        <f>P88*'DADOS BASE'!$I$33</f>
        <v>0</v>
      </c>
      <c r="R88" s="226"/>
      <c r="S88" s="227">
        <v>10.393149905123</v>
      </c>
      <c r="T88" s="226">
        <f>S88*'DADOS BASE'!$I$37</f>
        <v>8187.6081790992521</v>
      </c>
      <c r="U88" s="226"/>
      <c r="V88" s="226">
        <f t="shared" si="57"/>
        <v>8187.6081790992521</v>
      </c>
      <c r="W88" s="228"/>
      <c r="X88" s="226"/>
      <c r="Y88" s="226"/>
      <c r="Z88" s="224"/>
      <c r="AA88" s="226"/>
      <c r="AB88" s="226"/>
      <c r="AC88" s="226"/>
      <c r="AD88" s="226"/>
      <c r="AE88" s="227">
        <v>0</v>
      </c>
      <c r="AF88" s="227">
        <v>0</v>
      </c>
      <c r="AG88" s="226" t="s">
        <v>155</v>
      </c>
      <c r="AH88" s="229">
        <v>0.75900000000000001</v>
      </c>
      <c r="AI88" s="225">
        <f t="shared" si="58"/>
        <v>0</v>
      </c>
      <c r="AJ88" s="226">
        <f t="shared" si="59"/>
        <v>4.9464732894378409E-2</v>
      </c>
      <c r="AK88" s="226"/>
      <c r="AL88" s="226">
        <f t="shared" si="60"/>
        <v>170.78873040850775</v>
      </c>
      <c r="AM88" s="228">
        <f t="shared" si="61"/>
        <v>0</v>
      </c>
      <c r="AN88" s="226"/>
      <c r="AO88" s="227">
        <v>1.4814814814815001</v>
      </c>
      <c r="AP88" s="225"/>
      <c r="AQ88" s="226">
        <f t="shared" si="62"/>
        <v>0</v>
      </c>
      <c r="AR88" s="226">
        <f t="shared" si="63"/>
        <v>0</v>
      </c>
      <c r="AS88" s="228">
        <f>AR88*'DADOS BASE'!W$38</f>
        <v>0</v>
      </c>
      <c r="AT88" s="225"/>
      <c r="AU88" s="227">
        <v>10.393149905123</v>
      </c>
      <c r="AV88" s="227">
        <v>10.75</v>
      </c>
      <c r="AW88" s="226">
        <f t="shared" si="64"/>
        <v>2.59828747628075</v>
      </c>
      <c r="AX88" s="226">
        <f>IF($AW$11&gt;0,(AW88/$AW$11)*'DADOS BASE'!W$40,0)</f>
        <v>466.85087304709697</v>
      </c>
      <c r="AY88" s="226">
        <f t="shared" si="65"/>
        <v>3.8493147796752334</v>
      </c>
      <c r="AZ88" s="226">
        <f t="shared" si="66"/>
        <v>2.0132037735033973E-4</v>
      </c>
      <c r="BA88" s="226">
        <f>AZ88*'DADOS BASE'!W$41</f>
        <v>1487.3255087916727</v>
      </c>
      <c r="BB88" s="225"/>
      <c r="BC88" s="227">
        <v>0</v>
      </c>
      <c r="BD88" s="226">
        <f>IF($BC$11&gt;0,(BC88/$BC$11)*'DADOS BASE'!W$39,0)</f>
        <v>0</v>
      </c>
      <c r="BE88" s="187"/>
    </row>
    <row r="89" spans="2:57" x14ac:dyDescent="0.3">
      <c r="F89" s="185"/>
      <c r="H89" s="186"/>
      <c r="J89" s="186"/>
      <c r="K89" s="186"/>
      <c r="L89" s="186"/>
      <c r="M89" s="186"/>
      <c r="N89" s="186"/>
      <c r="O89" s="187"/>
      <c r="P89" s="186"/>
      <c r="Q89" s="186"/>
      <c r="R89" s="186"/>
      <c r="S89" s="186"/>
      <c r="T89" s="186"/>
      <c r="U89" s="186"/>
      <c r="V89" s="186"/>
      <c r="W89" s="187"/>
      <c r="X89" s="186"/>
      <c r="Y89" s="186"/>
      <c r="Z89" s="185"/>
      <c r="AA89" s="186"/>
      <c r="AB89" s="186"/>
      <c r="AC89" s="186"/>
      <c r="AD89" s="186"/>
      <c r="AE89" s="186"/>
      <c r="AF89" s="186"/>
      <c r="AG89" s="186"/>
      <c r="AH89" s="185"/>
      <c r="AJ89" s="186"/>
      <c r="AK89" s="186"/>
      <c r="AL89" s="186"/>
      <c r="AM89" s="187"/>
      <c r="AN89" s="186"/>
      <c r="AO89" s="186"/>
      <c r="AQ89" s="186"/>
      <c r="AR89" s="186"/>
      <c r="AS89" s="187"/>
      <c r="AU89" s="186"/>
      <c r="AV89" s="186"/>
      <c r="AW89" s="186"/>
      <c r="AX89" s="186"/>
      <c r="AY89" s="186"/>
      <c r="AZ89" s="186"/>
      <c r="BA89" s="186"/>
      <c r="BC89" s="186"/>
      <c r="BD89" s="186"/>
      <c r="BE89" s="187"/>
    </row>
    <row r="90" spans="2:57" x14ac:dyDescent="0.3">
      <c r="B90" s="209" t="s">
        <v>210</v>
      </c>
      <c r="C90" s="209" t="s">
        <v>227</v>
      </c>
      <c r="D90" s="211" t="s">
        <v>154</v>
      </c>
      <c r="E90" s="211"/>
      <c r="F90" s="210"/>
      <c r="G90" s="211"/>
      <c r="H90" s="212">
        <f ca="1">SUM(H91:H113)</f>
        <v>40792648.247451626</v>
      </c>
      <c r="I90" s="211"/>
      <c r="J90" s="212">
        <f>SUM(J91:J113)</f>
        <v>40792648.247451626</v>
      </c>
      <c r="K90" s="212"/>
      <c r="L90" s="212">
        <f>SUM(L91:L113)</f>
        <v>40741.157592432188</v>
      </c>
      <c r="M90" s="212">
        <f>SUM(M91:M113)</f>
        <v>3.1784363053762477E-2</v>
      </c>
      <c r="N90" s="212">
        <f>SUM(N91:N113)</f>
        <v>40119289.889841825</v>
      </c>
      <c r="O90" s="214"/>
      <c r="P90" s="212">
        <f>SUM(P91:P113)</f>
        <v>1853.1076032254073</v>
      </c>
      <c r="Q90" s="212">
        <f>SUM(Q91:Q113)</f>
        <v>456205.50276583206</v>
      </c>
      <c r="R90" s="212"/>
      <c r="S90" s="212">
        <f>SUM(S91:S113)</f>
        <v>275.64853170184966</v>
      </c>
      <c r="T90" s="212">
        <f>SUM(T91:T113)</f>
        <v>217152.85484396692</v>
      </c>
      <c r="U90" s="212"/>
      <c r="V90" s="212">
        <f>SUM(V91:V113)</f>
        <v>673358.35760979902</v>
      </c>
      <c r="W90" s="214"/>
      <c r="X90" s="212">
        <f>SUMIF(INDICADORES!$D$13:$D$53,C90,INDICADORES!$L$13:$L$53)</f>
        <v>6.1441106675741803E-3</v>
      </c>
      <c r="Y90" s="212">
        <f>X90*'DADOS BASE'!$I$79</f>
        <v>255123.23765239786</v>
      </c>
      <c r="Z90" s="210">
        <f>SUMIF(INDICADORES!$D$13:$D$53,C90,INDICADORES!$R$13:$R$53)</f>
        <v>2.3577282365751615E-2</v>
      </c>
      <c r="AA90" s="212">
        <f>Z90*'DADOS BASE'!$I$84</f>
        <v>979004.60093278682</v>
      </c>
      <c r="AB90" s="212">
        <f>SUMIF(INDICADORES!$D$13:$D$53,C90,INDICADORES!$Z$13:$Z$53)</f>
        <v>3.4037499513196678E-2</v>
      </c>
      <c r="AC90" s="212">
        <f>AB90*'DADOS BASE'!$I$89</f>
        <v>2826692.9250566955</v>
      </c>
      <c r="AD90" s="212"/>
      <c r="AE90" s="212">
        <f>SUM(AE91:AE113)</f>
        <v>26958</v>
      </c>
      <c r="AF90" s="212">
        <f>SUM(AF91:AF113)</f>
        <v>18622.775241601499</v>
      </c>
      <c r="AG90" s="212" t="s">
        <v>155</v>
      </c>
      <c r="AH90" s="210"/>
      <c r="AI90" s="211"/>
      <c r="AJ90" s="212"/>
      <c r="AK90" s="212"/>
      <c r="AL90" s="212"/>
      <c r="AM90" s="214">
        <f>SUM(AM91:AM113)</f>
        <v>3462918.7429404901</v>
      </c>
      <c r="AN90" s="212"/>
      <c r="AO90" s="212"/>
      <c r="AP90" s="211"/>
      <c r="AQ90" s="212">
        <f>SUM(AQ91:AQ113)</f>
        <v>31485.254490808678</v>
      </c>
      <c r="AR90" s="212"/>
      <c r="AS90" s="214">
        <f>SUM(AS91:AS113)</f>
        <v>10049150.108443769</v>
      </c>
      <c r="AT90" s="211"/>
      <c r="AU90" s="212">
        <f t="shared" ref="AU90:BA90" si="67">SUM(AU91:AU113)</f>
        <v>211.58956005774061</v>
      </c>
      <c r="AV90" s="212">
        <f t="shared" si="67"/>
        <v>1057.75</v>
      </c>
      <c r="AW90" s="212">
        <f t="shared" si="67"/>
        <v>52.897390014435153</v>
      </c>
      <c r="AX90" s="212">
        <f t="shared" si="67"/>
        <v>9504.411246095493</v>
      </c>
      <c r="AY90" s="212">
        <f t="shared" si="67"/>
        <v>88.846551070223938</v>
      </c>
      <c r="AZ90" s="212">
        <f t="shared" si="67"/>
        <v>4.6467026500864152E-3</v>
      </c>
      <c r="BA90" s="212">
        <f t="shared" si="67"/>
        <v>34329.159691651701</v>
      </c>
      <c r="BB90" s="211"/>
      <c r="BC90" s="212">
        <f>SUM(BC91:BC113)</f>
        <v>0</v>
      </c>
      <c r="BD90" s="212">
        <f>SUM(BD91:BD113)</f>
        <v>0</v>
      </c>
      <c r="BE90" s="187"/>
    </row>
    <row r="91" spans="2:57" x14ac:dyDescent="0.3">
      <c r="B91" s="216" t="s">
        <v>210</v>
      </c>
      <c r="C91" s="218" t="s">
        <v>156</v>
      </c>
      <c r="D91" s="218" t="s">
        <v>157</v>
      </c>
      <c r="E91" s="218"/>
      <c r="F91" s="217"/>
      <c r="G91" s="218"/>
      <c r="H91" s="219"/>
      <c r="I91" s="218"/>
      <c r="J91" s="219"/>
      <c r="K91" s="219"/>
      <c r="L91" s="219">
        <v>0</v>
      </c>
      <c r="M91" s="219">
        <v>0</v>
      </c>
      <c r="N91" s="219">
        <v>0</v>
      </c>
      <c r="O91" s="221"/>
      <c r="P91" s="219"/>
      <c r="Q91" s="219"/>
      <c r="R91" s="219"/>
      <c r="S91" s="219"/>
      <c r="T91" s="219"/>
      <c r="U91" s="219"/>
      <c r="V91" s="219"/>
      <c r="W91" s="221"/>
      <c r="X91" s="219"/>
      <c r="Y91" s="219"/>
      <c r="Z91" s="217"/>
      <c r="AA91" s="219"/>
      <c r="AB91" s="219"/>
      <c r="AC91" s="219"/>
      <c r="AD91" s="219"/>
      <c r="AE91" s="219"/>
      <c r="AF91" s="219"/>
      <c r="AG91" s="219" t="s">
        <v>155</v>
      </c>
      <c r="AH91" s="217"/>
      <c r="AI91" s="218"/>
      <c r="AJ91" s="219"/>
      <c r="AK91" s="219"/>
      <c r="AL91" s="219"/>
      <c r="AM91" s="221"/>
      <c r="AN91" s="219"/>
      <c r="AO91" s="219"/>
      <c r="AP91" s="218"/>
      <c r="AQ91" s="219"/>
      <c r="AR91" s="219"/>
      <c r="AS91" s="221"/>
      <c r="AT91" s="218"/>
      <c r="AU91" s="219"/>
      <c r="AV91" s="219"/>
      <c r="AW91" s="219"/>
      <c r="AX91" s="219"/>
      <c r="AY91" s="219"/>
      <c r="AZ91" s="219"/>
      <c r="BA91" s="219"/>
      <c r="BB91" s="218"/>
      <c r="BC91" s="219"/>
      <c r="BD91" s="219"/>
      <c r="BE91" s="187"/>
    </row>
    <row r="92" spans="2:57" x14ac:dyDescent="0.3">
      <c r="B92" s="223" t="s">
        <v>210</v>
      </c>
      <c r="C92" s="223" t="s">
        <v>228</v>
      </c>
      <c r="D92" s="223" t="s">
        <v>96</v>
      </c>
      <c r="E92" s="223">
        <v>2016</v>
      </c>
      <c r="F92" s="224"/>
      <c r="G92" s="225"/>
      <c r="H92" s="226">
        <f ca="1">IF(AND(E92&gt;=2018,SUMIF('DADOS BASE'!$C$101:$D$104,D92,'DADOS BASE'!$H$101:$H$104)&gt;J92),
SUMIF('DADOS BASE'!$C$101:$D$104,D92,'DADOS BASE'!$H$101:$H$104),
J92)</f>
        <v>109796.63693736945</v>
      </c>
      <c r="I92" s="225"/>
      <c r="J92" s="226">
        <f t="shared" ref="J92:J113" si="68">N92+Q92+T92</f>
        <v>109796.63693736945</v>
      </c>
      <c r="K92" s="226"/>
      <c r="L92" s="227">
        <v>76.939338778828997</v>
      </c>
      <c r="M92" s="226">
        <f t="shared" ref="M92:M113" si="69">L92/$L$11</f>
        <v>6.0024506454303137E-5</v>
      </c>
      <c r="N92" s="226">
        <f>L92*'DADOS BASE'!$I$29</f>
        <v>75764.946771516479</v>
      </c>
      <c r="O92" s="228"/>
      <c r="P92" s="227">
        <v>9.8576122672508006</v>
      </c>
      <c r="Q92" s="226">
        <f>P92*'DADOS BASE'!$I$33</f>
        <v>2426.7867406212195</v>
      </c>
      <c r="R92" s="226"/>
      <c r="S92" s="227">
        <v>40.118492708759</v>
      </c>
      <c r="T92" s="226">
        <f>S92*'DADOS BASE'!$I$37</f>
        <v>31604.903425231747</v>
      </c>
      <c r="U92" s="226"/>
      <c r="V92" s="226">
        <f t="shared" ref="V92:V113" si="70">T92+Q92</f>
        <v>34031.690165852968</v>
      </c>
      <c r="W92" s="228"/>
      <c r="X92" s="226"/>
      <c r="Y92" s="226"/>
      <c r="Z92" s="224"/>
      <c r="AA92" s="226"/>
      <c r="AB92" s="226"/>
      <c r="AC92" s="226"/>
      <c r="AD92" s="226"/>
      <c r="AE92" s="227">
        <v>103</v>
      </c>
      <c r="AF92" s="227">
        <v>51.292892519219002</v>
      </c>
      <c r="AG92" s="226" t="s">
        <v>155</v>
      </c>
      <c r="AH92" s="229">
        <v>0.61099999999999999</v>
      </c>
      <c r="AI92" s="225">
        <f t="shared" ref="AI92:AI113" si="71">AF92*AH92</f>
        <v>31.339957329242811</v>
      </c>
      <c r="AJ92" s="226">
        <f t="shared" ref="AJ92:AJ113" si="72">(AH92-$AI$12)*$AJ$12</f>
        <v>-0.15015678844143204</v>
      </c>
      <c r="AK92" s="226"/>
      <c r="AL92" s="226">
        <f t="shared" ref="AL92:AL113" si="73">$AL$11-(AJ92*$AL$11)</f>
        <v>206.65600158822036</v>
      </c>
      <c r="AM92" s="228">
        <f t="shared" ref="AM92:AM113" si="74">AF92*AL92</f>
        <v>10599.984077916139</v>
      </c>
      <c r="AN92" s="226"/>
      <c r="AO92" s="227">
        <v>1.9107142857143</v>
      </c>
      <c r="AP92" s="225"/>
      <c r="AQ92" s="226">
        <f t="shared" ref="AQ92:AQ113" si="75">AF92*AO92</f>
        <v>98.006062492079906</v>
      </c>
      <c r="AR92" s="226">
        <f t="shared" ref="AR92:AR113" si="76">AQ92/$AQ$11</f>
        <v>1.0427743528254334E-4</v>
      </c>
      <c r="AS92" s="228">
        <f>AR92*'DADOS BASE'!W$38</f>
        <v>31280.599424976586</v>
      </c>
      <c r="AT92" s="225"/>
      <c r="AU92" s="227">
        <v>21.767654815463001</v>
      </c>
      <c r="AV92" s="227">
        <v>68.75</v>
      </c>
      <c r="AW92" s="226">
        <f t="shared" ref="AW92:AW113" si="77">AU92/4</f>
        <v>5.4419137038657501</v>
      </c>
      <c r="AX92" s="226">
        <f>IF($AW$11&gt;0,(AW92/$AW$11)*'DADOS BASE'!W$40,0)</f>
        <v>977.78332339626513</v>
      </c>
      <c r="AY92" s="226">
        <f t="shared" ref="AY92:AY113" si="78">AO92*AW92</f>
        <v>10.397942255600707</v>
      </c>
      <c r="AZ92" s="226">
        <f t="shared" ref="AZ92:AZ113" si="79">IF($AY$11&gt;0,AY92/$AY$11,0)</f>
        <v>5.4381566028777466E-4</v>
      </c>
      <c r="BA92" s="226">
        <f>AZ92*'DADOS BASE'!W$41</f>
        <v>4017.6305760586683</v>
      </c>
      <c r="BB92" s="225"/>
      <c r="BC92" s="227">
        <v>0</v>
      </c>
      <c r="BD92" s="226">
        <f>IF($BC$11&gt;0,(BC92/$BC$11)*'DADOS BASE'!W$39,0)</f>
        <v>0</v>
      </c>
      <c r="BE92" s="187"/>
    </row>
    <row r="93" spans="2:57" x14ac:dyDescent="0.3">
      <c r="B93" s="184" t="s">
        <v>210</v>
      </c>
      <c r="C93" s="184" t="s">
        <v>229</v>
      </c>
      <c r="D93" s="184" t="s">
        <v>94</v>
      </c>
      <c r="E93" s="184">
        <v>2010</v>
      </c>
      <c r="F93" s="185"/>
      <c r="H93" s="186">
        <f ca="1">IF(AND(E93&gt;=2018,SUMIF('DADOS BASE'!$C$101:$D$104,D93,'DADOS BASE'!$H$101:$H$104)&gt;J93),
SUMIF('DADOS BASE'!$C$101:$D$104,D93,'DADOS BASE'!$H$101:$H$104),
J93)</f>
        <v>2303022.6303341347</v>
      </c>
      <c r="J93" s="186">
        <f t="shared" si="68"/>
        <v>2303022.6303341347</v>
      </c>
      <c r="K93" s="186"/>
      <c r="L93" s="188">
        <v>2284.0310550998001</v>
      </c>
      <c r="M93" s="186">
        <f t="shared" si="69"/>
        <v>1.7818951785220081E-3</v>
      </c>
      <c r="N93" s="186">
        <f>L93*'DADOS BASE'!$I$29</f>
        <v>2249167.9037114903</v>
      </c>
      <c r="O93" s="187"/>
      <c r="P93" s="188">
        <v>10.11</v>
      </c>
      <c r="Q93" s="186">
        <f>P93*'DADOS BASE'!$I$33</f>
        <v>2488.9205704702631</v>
      </c>
      <c r="R93" s="186"/>
      <c r="S93" s="188">
        <v>65.202500000000001</v>
      </c>
      <c r="T93" s="186">
        <f>S93*'DADOS BASE'!$I$37</f>
        <v>51365.806052174041</v>
      </c>
      <c r="U93" s="186"/>
      <c r="V93" s="186">
        <f t="shared" si="70"/>
        <v>53854.726622644303</v>
      </c>
      <c r="W93" s="187"/>
      <c r="X93" s="186"/>
      <c r="Y93" s="186"/>
      <c r="Z93" s="185"/>
      <c r="AA93" s="186"/>
      <c r="AB93" s="186"/>
      <c r="AC93" s="186"/>
      <c r="AD93" s="186"/>
      <c r="AE93" s="188">
        <v>1191</v>
      </c>
      <c r="AF93" s="188">
        <v>1003.6193530874</v>
      </c>
      <c r="AG93" s="186" t="s">
        <v>155</v>
      </c>
      <c r="AH93" s="189">
        <v>0.72099999999999997</v>
      </c>
      <c r="AI93" s="183">
        <f t="shared" si="71"/>
        <v>723.6095535760154</v>
      </c>
      <c r="AJ93" s="186">
        <f t="shared" si="72"/>
        <v>-1.7894415026540422E-3</v>
      </c>
      <c r="AK93" s="186"/>
      <c r="AL93" s="186">
        <f t="shared" si="73"/>
        <v>179.99789463032585</v>
      </c>
      <c r="AM93" s="187">
        <f t="shared" si="74"/>
        <v>180649.3705659816</v>
      </c>
      <c r="AN93" s="186"/>
      <c r="AO93" s="188">
        <v>1.5325301204819</v>
      </c>
      <c r="AQ93" s="186">
        <f t="shared" si="75"/>
        <v>1538.0768881049996</v>
      </c>
      <c r="AR93" s="186">
        <f t="shared" si="76"/>
        <v>1.6364978765666255E-3</v>
      </c>
      <c r="AS93" s="187">
        <f>AR93*'DADOS BASE'!W$38</f>
        <v>490908.07036059699</v>
      </c>
      <c r="AU93" s="188">
        <v>65.202500000000001</v>
      </c>
      <c r="AV93" s="188">
        <v>243.5</v>
      </c>
      <c r="AW93" s="186">
        <f t="shared" si="77"/>
        <v>16.300625</v>
      </c>
      <c r="AX93" s="186">
        <f>IF($AW$11&gt;0,(AW93/$AW$11)*'DADOS BASE'!W$40,0)</f>
        <v>2928.8371983212619</v>
      </c>
      <c r="AY93" s="186">
        <f t="shared" si="78"/>
        <v>24.981198795180269</v>
      </c>
      <c r="AZ93" s="186">
        <f t="shared" si="79"/>
        <v>1.30652457800135E-3</v>
      </c>
      <c r="BA93" s="186">
        <f>AZ93*'DADOS BASE'!W$41</f>
        <v>9652.4125292247973</v>
      </c>
      <c r="BC93" s="188">
        <v>0</v>
      </c>
      <c r="BD93" s="186">
        <f>IF($BC$11&gt;0,(BC93/$BC$11)*'DADOS BASE'!W$39,0)</f>
        <v>0</v>
      </c>
      <c r="BE93" s="187"/>
    </row>
    <row r="94" spans="2:57" x14ac:dyDescent="0.3">
      <c r="B94" s="223" t="s">
        <v>210</v>
      </c>
      <c r="C94" s="223" t="s">
        <v>230</v>
      </c>
      <c r="D94" s="223" t="s">
        <v>94</v>
      </c>
      <c r="E94" s="223">
        <v>2015</v>
      </c>
      <c r="F94" s="224"/>
      <c r="G94" s="225"/>
      <c r="H94" s="226">
        <f ca="1">IF(AND(E94&gt;=2018,SUMIF('DADOS BASE'!$C$101:$D$104,D94,'DADOS BASE'!$H$101:$H$104)&gt;J94),
SUMIF('DADOS BASE'!$C$101:$D$104,D94,'DADOS BASE'!$H$101:$H$104),
J94)</f>
        <v>1162691.5175941191</v>
      </c>
      <c r="I94" s="225"/>
      <c r="J94" s="226">
        <f t="shared" si="68"/>
        <v>1162691.5175941191</v>
      </c>
      <c r="K94" s="226"/>
      <c r="L94" s="227">
        <v>1169.5912240567</v>
      </c>
      <c r="M94" s="226">
        <f t="shared" si="69"/>
        <v>9.1246086971318507E-4</v>
      </c>
      <c r="N94" s="226">
        <f>L94*'DADOS BASE'!$I$29</f>
        <v>1151738.7365365836</v>
      </c>
      <c r="O94" s="228"/>
      <c r="P94" s="227">
        <v>42.104231685203999</v>
      </c>
      <c r="Q94" s="226">
        <f>P94*'DADOS BASE'!$I$33</f>
        <v>10365.389549470829</v>
      </c>
      <c r="R94" s="226"/>
      <c r="S94" s="227">
        <v>0.74562043795620003</v>
      </c>
      <c r="T94" s="226">
        <f>S94*'DADOS BASE'!$I$37</f>
        <v>587.39150806480177</v>
      </c>
      <c r="U94" s="226"/>
      <c r="V94" s="226">
        <f t="shared" si="70"/>
        <v>10952.781057535631</v>
      </c>
      <c r="W94" s="228"/>
      <c r="X94" s="226"/>
      <c r="Y94" s="226"/>
      <c r="Z94" s="224"/>
      <c r="AA94" s="226"/>
      <c r="AB94" s="226"/>
      <c r="AC94" s="226"/>
      <c r="AD94" s="226"/>
      <c r="AE94" s="227">
        <v>716</v>
      </c>
      <c r="AF94" s="227">
        <v>580.31744704872995</v>
      </c>
      <c r="AG94" s="226" t="s">
        <v>155</v>
      </c>
      <c r="AH94" s="229">
        <v>0.65600000000000003</v>
      </c>
      <c r="AI94" s="225">
        <f t="shared" si="71"/>
        <v>380.68824526396685</v>
      </c>
      <c r="AJ94" s="226">
        <f t="shared" si="72"/>
        <v>-8.9461055602840983E-2</v>
      </c>
      <c r="AK94" s="226"/>
      <c r="AL94" s="226">
        <f t="shared" si="73"/>
        <v>195.7504123781726</v>
      </c>
      <c r="AM94" s="228">
        <f t="shared" si="74"/>
        <v>113597.37957003723</v>
      </c>
      <c r="AN94" s="226"/>
      <c r="AO94" s="227">
        <v>1.5383333333333</v>
      </c>
      <c r="AP94" s="225"/>
      <c r="AQ94" s="226">
        <f t="shared" si="75"/>
        <v>892.72167270994362</v>
      </c>
      <c r="AR94" s="226">
        <f t="shared" si="76"/>
        <v>9.49846612385411E-4</v>
      </c>
      <c r="AS94" s="228">
        <f>AR94*'DADOS BASE'!W$38</f>
        <v>284930.01689861249</v>
      </c>
      <c r="AT94" s="225"/>
      <c r="AU94" s="227">
        <v>0.74562043795620003</v>
      </c>
      <c r="AV94" s="227">
        <v>24.25</v>
      </c>
      <c r="AW94" s="226">
        <f t="shared" si="77"/>
        <v>0.18640510948905001</v>
      </c>
      <c r="AX94" s="226">
        <f>IF($AW$11&gt;0,(AW94/$AW$11)*'DADOS BASE'!W$40,0)</f>
        <v>33.492594218238708</v>
      </c>
      <c r="AY94" s="226">
        <f t="shared" si="78"/>
        <v>0.28675319343064903</v>
      </c>
      <c r="AZ94" s="226">
        <f t="shared" si="79"/>
        <v>1.499728248068708E-5</v>
      </c>
      <c r="BA94" s="226">
        <f>AZ94*'DADOS BASE'!W$41</f>
        <v>110.79772991515659</v>
      </c>
      <c r="BB94" s="225"/>
      <c r="BC94" s="227">
        <v>0</v>
      </c>
      <c r="BD94" s="226">
        <f>IF($BC$11&gt;0,(BC94/$BC$11)*'DADOS BASE'!W$39,0)</f>
        <v>0</v>
      </c>
      <c r="BE94" s="187"/>
    </row>
    <row r="95" spans="2:57" x14ac:dyDescent="0.3">
      <c r="B95" s="184" t="s">
        <v>210</v>
      </c>
      <c r="C95" s="184" t="s">
        <v>231</v>
      </c>
      <c r="D95" s="184" t="s">
        <v>94</v>
      </c>
      <c r="E95" s="184">
        <v>2010</v>
      </c>
      <c r="F95" s="185"/>
      <c r="H95" s="186">
        <f ca="1">IF(AND(E95&gt;=2018,SUMIF('DADOS BASE'!$C$101:$D$104,D95,'DADOS BASE'!$H$101:$H$104)&gt;J95),
SUMIF('DADOS BASE'!$C$101:$D$104,D95,'DADOS BASE'!$H$101:$H$104),
J95)</f>
        <v>1206406.0083002616</v>
      </c>
      <c r="J95" s="186">
        <f t="shared" si="68"/>
        <v>1206406.0083002616</v>
      </c>
      <c r="K95" s="186"/>
      <c r="L95" s="188">
        <v>1191.0696943957</v>
      </c>
      <c r="M95" s="186">
        <f t="shared" si="69"/>
        <v>9.2921737687784792E-4</v>
      </c>
      <c r="N95" s="186">
        <f>L95*'DADOS BASE'!$I$29</f>
        <v>1172889.3623126361</v>
      </c>
      <c r="O95" s="187"/>
      <c r="P95" s="188">
        <v>0</v>
      </c>
      <c r="Q95" s="186">
        <f>P95*'DADOS BASE'!$I$33</f>
        <v>0</v>
      </c>
      <c r="R95" s="186"/>
      <c r="S95" s="188">
        <v>42.545212038304001</v>
      </c>
      <c r="T95" s="186">
        <f>S95*'DADOS BASE'!$I$37</f>
        <v>33516.645987625372</v>
      </c>
      <c r="U95" s="186"/>
      <c r="V95" s="186">
        <f t="shared" si="70"/>
        <v>33516.645987625372</v>
      </c>
      <c r="W95" s="187"/>
      <c r="X95" s="186"/>
      <c r="Y95" s="186"/>
      <c r="Z95" s="185"/>
      <c r="AA95" s="186"/>
      <c r="AB95" s="186"/>
      <c r="AC95" s="186"/>
      <c r="AD95" s="186"/>
      <c r="AE95" s="188">
        <v>857</v>
      </c>
      <c r="AF95" s="188">
        <v>580.33212013932996</v>
      </c>
      <c r="AG95" s="186" t="s">
        <v>155</v>
      </c>
      <c r="AH95" s="189">
        <v>0.69399999999999995</v>
      </c>
      <c r="AI95" s="183">
        <f t="shared" si="71"/>
        <v>402.75049137669498</v>
      </c>
      <c r="AJ95" s="186">
        <f t="shared" si="72"/>
        <v>-3.8206881205808674E-2</v>
      </c>
      <c r="AK95" s="186"/>
      <c r="AL95" s="186">
        <f t="shared" si="73"/>
        <v>186.5412481563545</v>
      </c>
      <c r="AM95" s="187">
        <f t="shared" si="74"/>
        <v>108255.87803601408</v>
      </c>
      <c r="AN95" s="186"/>
      <c r="AO95" s="188">
        <v>1.1353111432706</v>
      </c>
      <c r="AQ95" s="186">
        <f t="shared" si="75"/>
        <v>658.85752279203393</v>
      </c>
      <c r="AR95" s="186">
        <f t="shared" si="76"/>
        <v>7.0101757938612497E-4</v>
      </c>
      <c r="AS95" s="187">
        <f>AR95*'DADOS BASE'!W$38</f>
        <v>210287.58552824723</v>
      </c>
      <c r="AU95" s="188">
        <v>22.547606019151999</v>
      </c>
      <c r="AV95" s="188">
        <v>26.75</v>
      </c>
      <c r="AW95" s="186">
        <f t="shared" si="77"/>
        <v>5.6369015047879998</v>
      </c>
      <c r="AX95" s="186">
        <f>IF($AW$11&gt;0,(AW95/$AW$11)*'DADOS BASE'!W$40,0)</f>
        <v>1012.8180244926923</v>
      </c>
      <c r="AY95" s="186">
        <f t="shared" si="78"/>
        <v>6.3996370919046299</v>
      </c>
      <c r="AZ95" s="186">
        <f t="shared" si="79"/>
        <v>3.3470303884998751E-4</v>
      </c>
      <c r="BA95" s="186">
        <f>AZ95*'DADOS BASE'!W$41</f>
        <v>2472.7371074085495</v>
      </c>
      <c r="BC95" s="188">
        <v>0</v>
      </c>
      <c r="BD95" s="186">
        <f>IF($BC$11&gt;0,(BC95/$BC$11)*'DADOS BASE'!W$39,0)</f>
        <v>0</v>
      </c>
      <c r="BE95" s="187"/>
    </row>
    <row r="96" spans="2:57" x14ac:dyDescent="0.3">
      <c r="B96" s="223" t="s">
        <v>210</v>
      </c>
      <c r="C96" s="223" t="s">
        <v>232</v>
      </c>
      <c r="D96" s="223" t="s">
        <v>94</v>
      </c>
      <c r="E96" s="223">
        <v>2015</v>
      </c>
      <c r="F96" s="224"/>
      <c r="G96" s="225"/>
      <c r="H96" s="226">
        <f ca="1">IF(AND(E96&gt;=2018,SUMIF('DADOS BASE'!$C$101:$D$104,D96,'DADOS BASE'!$H$101:$H$104)&gt;J96),
SUMIF('DADOS BASE'!$C$101:$D$104,D96,'DADOS BASE'!$H$101:$H$104),
J96)</f>
        <v>666808.69843945384</v>
      </c>
      <c r="I96" s="225"/>
      <c r="J96" s="226">
        <f t="shared" si="68"/>
        <v>666808.69843945384</v>
      </c>
      <c r="K96" s="226"/>
      <c r="L96" s="227">
        <v>661.30425827352997</v>
      </c>
      <c r="M96" s="226">
        <f t="shared" si="69"/>
        <v>5.1591893495606914E-4</v>
      </c>
      <c r="N96" s="226">
        <f>L96*'DADOS BASE'!$I$29</f>
        <v>651210.1965406799</v>
      </c>
      <c r="O96" s="228"/>
      <c r="P96" s="227">
        <v>56.801143809747003</v>
      </c>
      <c r="Q96" s="226">
        <f>P96*'DADOS BASE'!$I$33</f>
        <v>13983.534644344112</v>
      </c>
      <c r="R96" s="226"/>
      <c r="S96" s="227">
        <v>2.0499999999999998</v>
      </c>
      <c r="T96" s="226">
        <f>S96*'DADOS BASE'!$I$37</f>
        <v>1614.9672544297653</v>
      </c>
      <c r="U96" s="226"/>
      <c r="V96" s="226">
        <f t="shared" si="70"/>
        <v>15598.501898773877</v>
      </c>
      <c r="W96" s="228"/>
      <c r="X96" s="226"/>
      <c r="Y96" s="226"/>
      <c r="Z96" s="224"/>
      <c r="AA96" s="226"/>
      <c r="AB96" s="226"/>
      <c r="AC96" s="226"/>
      <c r="AD96" s="226"/>
      <c r="AE96" s="227">
        <v>600</v>
      </c>
      <c r="AF96" s="227">
        <v>408.92025984713001</v>
      </c>
      <c r="AG96" s="226" t="s">
        <v>155</v>
      </c>
      <c r="AH96" s="229">
        <v>0.56699999999999995</v>
      </c>
      <c r="AI96" s="225">
        <f t="shared" si="71"/>
        <v>231.8577873333227</v>
      </c>
      <c r="AJ96" s="226">
        <f t="shared" si="72"/>
        <v>-0.2095037272169433</v>
      </c>
      <c r="AK96" s="226"/>
      <c r="AL96" s="226">
        <f t="shared" si="73"/>
        <v>217.31924437137818</v>
      </c>
      <c r="AM96" s="228">
        <f t="shared" si="74"/>
        <v>88866.241878125904</v>
      </c>
      <c r="AN96" s="226"/>
      <c r="AO96" s="227">
        <v>1.6449468085106</v>
      </c>
      <c r="AP96" s="225"/>
      <c r="AQ96" s="226">
        <f t="shared" si="75"/>
        <v>672.65207637086178</v>
      </c>
      <c r="AR96" s="226">
        <f t="shared" si="76"/>
        <v>7.1569484150125215E-4</v>
      </c>
      <c r="AS96" s="228">
        <f>AR96*'DADOS BASE'!W$38</f>
        <v>214690.39382166846</v>
      </c>
      <c r="AT96" s="225"/>
      <c r="AU96" s="227">
        <v>2.0499999999999998</v>
      </c>
      <c r="AV96" s="227">
        <v>28.75</v>
      </c>
      <c r="AW96" s="226">
        <f t="shared" si="77"/>
        <v>0.51249999999999996</v>
      </c>
      <c r="AX96" s="226">
        <f>IF($AW$11&gt;0,(AW96/$AW$11)*'DADOS BASE'!W$40,0)</f>
        <v>92.084141812945632</v>
      </c>
      <c r="AY96" s="226">
        <f t="shared" si="78"/>
        <v>0.84303523936168245</v>
      </c>
      <c r="AZ96" s="226">
        <f t="shared" si="79"/>
        <v>4.4091008977511363E-5</v>
      </c>
      <c r="BA96" s="226">
        <f>AZ96*'DADOS BASE'!W$41</f>
        <v>325.73792689895652</v>
      </c>
      <c r="BB96" s="225"/>
      <c r="BC96" s="227">
        <v>0</v>
      </c>
      <c r="BD96" s="226">
        <f>IF($BC$11&gt;0,(BC96/$BC$11)*'DADOS BASE'!W$39,0)</f>
        <v>0</v>
      </c>
      <c r="BE96" s="187"/>
    </row>
    <row r="97" spans="2:57" x14ac:dyDescent="0.3">
      <c r="B97" s="184" t="s">
        <v>210</v>
      </c>
      <c r="C97" s="184" t="s">
        <v>233</v>
      </c>
      <c r="D97" s="184" t="s">
        <v>94</v>
      </c>
      <c r="E97" s="184">
        <v>2010</v>
      </c>
      <c r="F97" s="185"/>
      <c r="H97" s="186">
        <f ca="1">IF(AND(E97&gt;=2018,SUMIF('DADOS BASE'!$C$101:$D$104,D97,'DADOS BASE'!$H$101:$H$104)&gt;J97),
SUMIF('DADOS BASE'!$C$101:$D$104,D97,'DADOS BASE'!$H$101:$H$104),
J97)</f>
        <v>2042631.4925383043</v>
      </c>
      <c r="J97" s="186">
        <f t="shared" si="68"/>
        <v>2042631.4925383043</v>
      </c>
      <c r="K97" s="186"/>
      <c r="L97" s="188">
        <v>2066.2157982418998</v>
      </c>
      <c r="M97" s="186">
        <f t="shared" si="69"/>
        <v>1.6119658095070731E-3</v>
      </c>
      <c r="N97" s="186">
        <f>L97*'DADOS BASE'!$I$29</f>
        <v>2034677.3504549554</v>
      </c>
      <c r="O97" s="187"/>
      <c r="P97" s="188">
        <v>25.749739979956001</v>
      </c>
      <c r="Q97" s="186">
        <f>P97*'DADOS BASE'!$I$33</f>
        <v>6339.1748289191928</v>
      </c>
      <c r="R97" s="186"/>
      <c r="S97" s="188">
        <v>2.0499999999999998</v>
      </c>
      <c r="T97" s="186">
        <f>S97*'DADOS BASE'!$I$37</f>
        <v>1614.9672544297653</v>
      </c>
      <c r="U97" s="186"/>
      <c r="V97" s="186">
        <f t="shared" si="70"/>
        <v>7954.1420833489583</v>
      </c>
      <c r="W97" s="187"/>
      <c r="X97" s="186"/>
      <c r="Y97" s="186"/>
      <c r="Z97" s="185"/>
      <c r="AA97" s="186"/>
      <c r="AB97" s="186"/>
      <c r="AC97" s="186"/>
      <c r="AD97" s="186"/>
      <c r="AE97" s="188">
        <v>1242</v>
      </c>
      <c r="AF97" s="188">
        <v>1037.9993925778001</v>
      </c>
      <c r="AG97" s="186" t="s">
        <v>155</v>
      </c>
      <c r="AH97" s="189">
        <v>0.67700000000000005</v>
      </c>
      <c r="AI97" s="183">
        <f t="shared" si="71"/>
        <v>702.72558877517076</v>
      </c>
      <c r="AJ97" s="186">
        <f t="shared" si="72"/>
        <v>-6.1136380278165148E-2</v>
      </c>
      <c r="AK97" s="186"/>
      <c r="AL97" s="186">
        <f t="shared" si="73"/>
        <v>190.66113741348363</v>
      </c>
      <c r="AM97" s="187">
        <f t="shared" si="74"/>
        <v>197906.14482338849</v>
      </c>
      <c r="AN97" s="186"/>
      <c r="AO97" s="188">
        <v>1.9193697868396999</v>
      </c>
      <c r="AQ97" s="186">
        <f t="shared" si="75"/>
        <v>1992.3046728717902</v>
      </c>
      <c r="AR97" s="186">
        <f t="shared" si="76"/>
        <v>2.1197915343786592E-3</v>
      </c>
      <c r="AS97" s="187">
        <f>AR97*'DADOS BASE'!W$38</f>
        <v>635883.97309245798</v>
      </c>
      <c r="AU97" s="188">
        <v>2.0499999999999998</v>
      </c>
      <c r="AV97" s="188">
        <v>14.5</v>
      </c>
      <c r="AW97" s="186">
        <f t="shared" si="77"/>
        <v>0.51249999999999996</v>
      </c>
      <c r="AX97" s="186">
        <f>IF($AW$11&gt;0,(AW97/$AW$11)*'DADOS BASE'!W$40,0)</f>
        <v>92.084141812945632</v>
      </c>
      <c r="AY97" s="186">
        <f t="shared" si="78"/>
        <v>0.98367701575534616</v>
      </c>
      <c r="AZ97" s="186">
        <f t="shared" si="79"/>
        <v>5.1446618252256968E-5</v>
      </c>
      <c r="BA97" s="186">
        <f>AZ97*'DADOS BASE'!W$41</f>
        <v>380.08009261025722</v>
      </c>
      <c r="BC97" s="188">
        <v>0</v>
      </c>
      <c r="BD97" s="186">
        <f>IF($BC$11&gt;0,(BC97/$BC$11)*'DADOS BASE'!W$39,0)</f>
        <v>0</v>
      </c>
      <c r="BE97" s="187"/>
    </row>
    <row r="98" spans="2:57" x14ac:dyDescent="0.3">
      <c r="B98" s="223" t="s">
        <v>210</v>
      </c>
      <c r="C98" s="223" t="s">
        <v>234</v>
      </c>
      <c r="D98" s="223" t="s">
        <v>94</v>
      </c>
      <c r="E98" s="223">
        <v>2013</v>
      </c>
      <c r="F98" s="224"/>
      <c r="G98" s="225"/>
      <c r="H98" s="226">
        <f ca="1">IF(AND(E98&gt;=2018,SUMIF('DADOS BASE'!$C$101:$D$104,D98,'DADOS BASE'!$H$101:$H$104)&gt;J98),
SUMIF('DADOS BASE'!$C$101:$D$104,D98,'DADOS BASE'!$H$101:$H$104),
J98)</f>
        <v>1150134.5404203809</v>
      </c>
      <c r="I98" s="225"/>
      <c r="J98" s="226">
        <f t="shared" si="68"/>
        <v>1150134.5404203809</v>
      </c>
      <c r="K98" s="226"/>
      <c r="L98" s="227">
        <v>1166.0144698449001</v>
      </c>
      <c r="M98" s="226">
        <f t="shared" si="69"/>
        <v>9.0967045183750254E-4</v>
      </c>
      <c r="N98" s="226">
        <f>L98*'DADOS BASE'!$I$29</f>
        <v>1148216.5774334127</v>
      </c>
      <c r="O98" s="228"/>
      <c r="P98" s="227">
        <v>0</v>
      </c>
      <c r="Q98" s="226">
        <f>P98*'DADOS BASE'!$I$33</f>
        <v>0</v>
      </c>
      <c r="R98" s="226"/>
      <c r="S98" s="227">
        <v>2.4346153846153999</v>
      </c>
      <c r="T98" s="226">
        <f>S98*'DADOS BASE'!$I$37</f>
        <v>1917.9629869681949</v>
      </c>
      <c r="U98" s="226"/>
      <c r="V98" s="226">
        <f t="shared" si="70"/>
        <v>1917.9629869681949</v>
      </c>
      <c r="W98" s="228"/>
      <c r="X98" s="226"/>
      <c r="Y98" s="226"/>
      <c r="Z98" s="224"/>
      <c r="AA98" s="226"/>
      <c r="AB98" s="226"/>
      <c r="AC98" s="226"/>
      <c r="AD98" s="226"/>
      <c r="AE98" s="227">
        <v>835</v>
      </c>
      <c r="AF98" s="227">
        <v>533.76438635678005</v>
      </c>
      <c r="AG98" s="226" t="s">
        <v>155</v>
      </c>
      <c r="AH98" s="229">
        <v>0.71199999999999997</v>
      </c>
      <c r="AI98" s="225">
        <f t="shared" si="71"/>
        <v>380.04024308602737</v>
      </c>
      <c r="AJ98" s="226">
        <f t="shared" si="72"/>
        <v>-1.3928588070372254E-2</v>
      </c>
      <c r="AK98" s="226"/>
      <c r="AL98" s="226">
        <f t="shared" si="73"/>
        <v>182.17901247233542</v>
      </c>
      <c r="AM98" s="228">
        <f t="shared" si="74"/>
        <v>97240.668799380292</v>
      </c>
      <c r="AN98" s="226"/>
      <c r="AO98" s="227">
        <v>1.9823008849557999</v>
      </c>
      <c r="AP98" s="225"/>
      <c r="AQ98" s="226">
        <f t="shared" si="75"/>
        <v>1058.0816154329345</v>
      </c>
      <c r="AR98" s="226">
        <f t="shared" si="76"/>
        <v>1.1257878785393821E-3</v>
      </c>
      <c r="AS98" s="228">
        <f>AR98*'DADOS BASE'!W$38</f>
        <v>337707.95734156168</v>
      </c>
      <c r="AT98" s="225"/>
      <c r="AU98" s="227">
        <v>2.4346153846153999</v>
      </c>
      <c r="AV98" s="227">
        <v>73.75</v>
      </c>
      <c r="AW98" s="226">
        <f t="shared" si="77"/>
        <v>0.60865384615384999</v>
      </c>
      <c r="AX98" s="226">
        <f>IF($AW$11&gt;0,(AW98/$AW$11)*'DADOS BASE'!W$40,0)</f>
        <v>109.36071626190423</v>
      </c>
      <c r="AY98" s="226">
        <f t="shared" si="78"/>
        <v>1.2065350578625282</v>
      </c>
      <c r="AZ98" s="226">
        <f t="shared" si="79"/>
        <v>6.31021641612255E-5</v>
      </c>
      <c r="BA98" s="226">
        <f>AZ98*'DADOS BASE'!W$41</f>
        <v>466.18956139559413</v>
      </c>
      <c r="BB98" s="225"/>
      <c r="BC98" s="227">
        <v>0</v>
      </c>
      <c r="BD98" s="226">
        <f>IF($BC$11&gt;0,(BC98/$BC$11)*'DADOS BASE'!W$39,0)</f>
        <v>0</v>
      </c>
      <c r="BE98" s="187"/>
    </row>
    <row r="99" spans="2:57" x14ac:dyDescent="0.3">
      <c r="B99" s="184" t="s">
        <v>210</v>
      </c>
      <c r="C99" s="184" t="s">
        <v>235</v>
      </c>
      <c r="D99" s="184" t="s">
        <v>94</v>
      </c>
      <c r="E99" s="184">
        <v>2013</v>
      </c>
      <c r="F99" s="185"/>
      <c r="H99" s="186">
        <f ca="1">IF(AND(E99&gt;=2018,SUMIF('DADOS BASE'!$C$101:$D$104,D99,'DADOS BASE'!$H$101:$H$104)&gt;J99),
SUMIF('DADOS BASE'!$C$101:$D$104,D99,'DADOS BASE'!$H$101:$H$104),
J99)</f>
        <v>1690140.7372690272</v>
      </c>
      <c r="J99" s="186">
        <f t="shared" si="68"/>
        <v>1690140.7372690272</v>
      </c>
      <c r="K99" s="186"/>
      <c r="L99" s="188">
        <v>1447.2137297622</v>
      </c>
      <c r="M99" s="186">
        <f t="shared" si="69"/>
        <v>1.1290490825841409E-3</v>
      </c>
      <c r="N99" s="186">
        <f>L99*'DADOS BASE'!$I$29</f>
        <v>1425123.6486140979</v>
      </c>
      <c r="O99" s="187"/>
      <c r="P99" s="188">
        <v>1067.2199084704</v>
      </c>
      <c r="Q99" s="186">
        <f>P99*'DADOS BASE'!$I$33</f>
        <v>262732.50083158951</v>
      </c>
      <c r="R99" s="186"/>
      <c r="S99" s="188">
        <v>2.9</v>
      </c>
      <c r="T99" s="186">
        <f>S99*'DADOS BASE'!$I$37</f>
        <v>2284.5878233396679</v>
      </c>
      <c r="U99" s="186"/>
      <c r="V99" s="186">
        <f t="shared" si="70"/>
        <v>265017.08865492919</v>
      </c>
      <c r="W99" s="187"/>
      <c r="X99" s="186"/>
      <c r="Y99" s="186"/>
      <c r="Z99" s="185"/>
      <c r="AA99" s="186"/>
      <c r="AB99" s="186"/>
      <c r="AC99" s="186"/>
      <c r="AD99" s="186"/>
      <c r="AE99" s="188">
        <v>1133</v>
      </c>
      <c r="AF99" s="188">
        <v>674.09666410616001</v>
      </c>
      <c r="AG99" s="186" t="s">
        <v>155</v>
      </c>
      <c r="AH99" s="189">
        <v>0.69</v>
      </c>
      <c r="AI99" s="183">
        <f t="shared" si="71"/>
        <v>465.12669823325035</v>
      </c>
      <c r="AJ99" s="186">
        <f t="shared" si="72"/>
        <v>-4.3602057458127882E-2</v>
      </c>
      <c r="AK99" s="186"/>
      <c r="AL99" s="186">
        <f t="shared" si="73"/>
        <v>187.51063386391431</v>
      </c>
      <c r="AM99" s="187">
        <f t="shared" si="74"/>
        <v>126400.29277209619</v>
      </c>
      <c r="AN99" s="186"/>
      <c r="AO99" s="188">
        <v>1.7288629737609</v>
      </c>
      <c r="AQ99" s="186">
        <f t="shared" si="75"/>
        <v>1165.4207633088783</v>
      </c>
      <c r="AR99" s="186">
        <f t="shared" si="76"/>
        <v>1.2399956199923318E-3</v>
      </c>
      <c r="AS99" s="187">
        <f>AR99*'DADOS BASE'!W$38</f>
        <v>371967.3980531714</v>
      </c>
      <c r="AU99" s="188">
        <v>2.9</v>
      </c>
      <c r="AV99" s="188">
        <v>181.5</v>
      </c>
      <c r="AW99" s="186">
        <f t="shared" si="77"/>
        <v>0.72499999999999998</v>
      </c>
      <c r="AX99" s="186">
        <f>IF($AW$11&gt;0,(AW99/$AW$11)*'DADOS BASE'!W$40,0)</f>
        <v>130.2653713451426</v>
      </c>
      <c r="AY99" s="186">
        <f t="shared" si="78"/>
        <v>1.2534256559766526</v>
      </c>
      <c r="AZ99" s="186">
        <f t="shared" si="79"/>
        <v>6.5554557235536539E-5</v>
      </c>
      <c r="BA99" s="186">
        <f>AZ99*'DADOS BASE'!W$41</f>
        <v>484.30748281523961</v>
      </c>
      <c r="BC99" s="188">
        <v>0</v>
      </c>
      <c r="BD99" s="186">
        <f>IF($BC$11&gt;0,(BC99/$BC$11)*'DADOS BASE'!W$39,0)</f>
        <v>0</v>
      </c>
      <c r="BE99" s="187"/>
    </row>
    <row r="100" spans="2:57" x14ac:dyDescent="0.3">
      <c r="B100" s="223" t="s">
        <v>210</v>
      </c>
      <c r="C100" s="223" t="s">
        <v>236</v>
      </c>
      <c r="D100" s="223" t="s">
        <v>94</v>
      </c>
      <c r="E100" s="223">
        <v>2012</v>
      </c>
      <c r="F100" s="224"/>
      <c r="G100" s="225"/>
      <c r="H100" s="226">
        <f ca="1">IF(AND(E100&gt;=2018,SUMIF('DADOS BASE'!$C$101:$D$104,D100,'DADOS BASE'!$H$101:$H$104)&gt;J100),
SUMIF('DADOS BASE'!$C$101:$D$104,D100,'DADOS BASE'!$H$101:$H$104),
J100)</f>
        <v>1243311.7038838086</v>
      </c>
      <c r="I100" s="225"/>
      <c r="J100" s="226">
        <f t="shared" si="68"/>
        <v>1243311.7038838086</v>
      </c>
      <c r="K100" s="226"/>
      <c r="L100" s="227">
        <v>1260.8836151021001</v>
      </c>
      <c r="M100" s="226">
        <f t="shared" si="69"/>
        <v>9.8368296237095598E-4</v>
      </c>
      <c r="N100" s="226">
        <f>L100*'DADOS BASE'!$I$29</f>
        <v>1241637.6524615339</v>
      </c>
      <c r="O100" s="228"/>
      <c r="P100" s="227">
        <v>0</v>
      </c>
      <c r="Q100" s="226">
        <f>P100*'DADOS BASE'!$I$33</f>
        <v>0</v>
      </c>
      <c r="R100" s="226"/>
      <c r="S100" s="227">
        <v>2.125</v>
      </c>
      <c r="T100" s="226">
        <f>S100*'DADOS BASE'!$I$37</f>
        <v>1674.0514222747568</v>
      </c>
      <c r="U100" s="226"/>
      <c r="V100" s="226">
        <f t="shared" si="70"/>
        <v>1674.0514222747568</v>
      </c>
      <c r="W100" s="228"/>
      <c r="X100" s="226"/>
      <c r="Y100" s="226"/>
      <c r="Z100" s="224"/>
      <c r="AA100" s="226"/>
      <c r="AB100" s="226"/>
      <c r="AC100" s="226"/>
      <c r="AD100" s="226"/>
      <c r="AE100" s="227">
        <v>775</v>
      </c>
      <c r="AF100" s="227">
        <v>598.09166199633</v>
      </c>
      <c r="AG100" s="226" t="s">
        <v>155</v>
      </c>
      <c r="AH100" s="229">
        <v>0.69099999999999995</v>
      </c>
      <c r="AI100" s="225">
        <f t="shared" si="71"/>
        <v>413.28133843946398</v>
      </c>
      <c r="AJ100" s="226">
        <f t="shared" si="72"/>
        <v>-4.2253263395048084E-2</v>
      </c>
      <c r="AK100" s="226"/>
      <c r="AL100" s="226">
        <f t="shared" si="73"/>
        <v>187.26828743702436</v>
      </c>
      <c r="AM100" s="228">
        <f t="shared" si="74"/>
        <v>112003.60127241634</v>
      </c>
      <c r="AN100" s="226"/>
      <c r="AO100" s="227">
        <v>2.3364565587734001</v>
      </c>
      <c r="AP100" s="225"/>
      <c r="AQ100" s="226">
        <f t="shared" si="75"/>
        <v>1397.4151864190087</v>
      </c>
      <c r="AR100" s="226">
        <f t="shared" si="76"/>
        <v>1.4868352830359581E-3</v>
      </c>
      <c r="AS100" s="228">
        <f>AR100*'DADOS BASE'!W$38</f>
        <v>446013.06863322313</v>
      </c>
      <c r="AT100" s="225"/>
      <c r="AU100" s="227">
        <v>2.125</v>
      </c>
      <c r="AV100" s="227">
        <v>5.75</v>
      </c>
      <c r="AW100" s="226">
        <f t="shared" si="77"/>
        <v>0.53125</v>
      </c>
      <c r="AX100" s="226">
        <f>IF($AW$11&gt;0,(AW100/$AW$11)*'DADOS BASE'!W$40,0)</f>
        <v>95.453073830492414</v>
      </c>
      <c r="AY100" s="226">
        <f t="shared" si="78"/>
        <v>1.2412425468483688</v>
      </c>
      <c r="AZ100" s="226">
        <f t="shared" si="79"/>
        <v>6.4917376784626938E-5</v>
      </c>
      <c r="BA100" s="226">
        <f>AZ100*'DADOS BASE'!W$41</f>
        <v>479.60008681879737</v>
      </c>
      <c r="BB100" s="225"/>
      <c r="BC100" s="227">
        <v>0</v>
      </c>
      <c r="BD100" s="226">
        <f>IF($BC$11&gt;0,(BC100/$BC$11)*'DADOS BASE'!W$39,0)</f>
        <v>0</v>
      </c>
      <c r="BE100" s="187"/>
    </row>
    <row r="101" spans="2:57" x14ac:dyDescent="0.3">
      <c r="B101" s="184" t="s">
        <v>210</v>
      </c>
      <c r="C101" s="184" t="s">
        <v>237</v>
      </c>
      <c r="D101" s="184" t="s">
        <v>94</v>
      </c>
      <c r="E101" s="184">
        <v>2013</v>
      </c>
      <c r="F101" s="185"/>
      <c r="H101" s="186">
        <f ca="1">IF(AND(E101&gt;=2018,SUMIF('DADOS BASE'!$C$101:$D$104,D101,'DADOS BASE'!$H$101:$H$104)&gt;J101),
SUMIF('DADOS BASE'!$C$101:$D$104,D101,'DADOS BASE'!$H$101:$H$104),
J101)</f>
        <v>1176247.1581192778</v>
      </c>
      <c r="J101" s="186">
        <f t="shared" si="68"/>
        <v>1176247.1581192778</v>
      </c>
      <c r="K101" s="186"/>
      <c r="L101" s="188">
        <v>1192.5696260988</v>
      </c>
      <c r="M101" s="186">
        <f t="shared" si="69"/>
        <v>9.303875540800792E-4</v>
      </c>
      <c r="N101" s="186">
        <f>L101*'DADOS BASE'!$I$29</f>
        <v>1174366.3992543358</v>
      </c>
      <c r="O101" s="187"/>
      <c r="P101" s="188">
        <v>0</v>
      </c>
      <c r="Q101" s="186">
        <f>P101*'DADOS BASE'!$I$33</f>
        <v>0</v>
      </c>
      <c r="R101" s="186"/>
      <c r="S101" s="188">
        <v>2.3873893805309998</v>
      </c>
      <c r="T101" s="186">
        <f>S101*'DADOS BASE'!$I$37</f>
        <v>1880.7588649419156</v>
      </c>
      <c r="U101" s="186"/>
      <c r="V101" s="186">
        <f t="shared" si="70"/>
        <v>1880.7588649419156</v>
      </c>
      <c r="W101" s="187"/>
      <c r="X101" s="186"/>
      <c r="Y101" s="186"/>
      <c r="Z101" s="185"/>
      <c r="AA101" s="186"/>
      <c r="AB101" s="186"/>
      <c r="AC101" s="186"/>
      <c r="AD101" s="186"/>
      <c r="AE101" s="188">
        <v>811</v>
      </c>
      <c r="AF101" s="188">
        <v>581.48332648540998</v>
      </c>
      <c r="AG101" s="186" t="s">
        <v>155</v>
      </c>
      <c r="AH101" s="189">
        <v>0.64900000000000002</v>
      </c>
      <c r="AI101" s="183">
        <f t="shared" si="71"/>
        <v>377.38267888903107</v>
      </c>
      <c r="AJ101" s="186">
        <f t="shared" si="72"/>
        <v>-9.8902614044399581E-2</v>
      </c>
      <c r="AK101" s="186"/>
      <c r="AL101" s="186">
        <f t="shared" si="73"/>
        <v>197.44683736640224</v>
      </c>
      <c r="AM101" s="187">
        <f t="shared" si="74"/>
        <v>114812.04379583932</v>
      </c>
      <c r="AN101" s="186"/>
      <c r="AO101" s="188">
        <v>2.2195571955719999</v>
      </c>
      <c r="AQ101" s="186">
        <f t="shared" si="75"/>
        <v>1290.6355014058342</v>
      </c>
      <c r="AR101" s="186">
        <f t="shared" si="76"/>
        <v>1.3732228042737237E-3</v>
      </c>
      <c r="AS101" s="187">
        <f>AR101*'DADOS BASE'!W$38</f>
        <v>411932.19170897978</v>
      </c>
      <c r="AU101" s="188">
        <v>2.3873893805309998</v>
      </c>
      <c r="AV101" s="188">
        <v>11.25</v>
      </c>
      <c r="AW101" s="186">
        <f t="shared" si="77"/>
        <v>0.59684734513274995</v>
      </c>
      <c r="AX101" s="186">
        <f>IF($AW$11&gt;0,(AW101/$AW$11)*'DADOS BASE'!W$40,0)</f>
        <v>107.2393669656278</v>
      </c>
      <c r="AY101" s="186">
        <f t="shared" si="78"/>
        <v>1.32473681954744</v>
      </c>
      <c r="AZ101" s="186">
        <f t="shared" si="79"/>
        <v>6.9284153587377106E-5</v>
      </c>
      <c r="BA101" s="186">
        <f>AZ101*'DADOS BASE'!W$41</f>
        <v>511.86119528387701</v>
      </c>
      <c r="BC101" s="188">
        <v>0</v>
      </c>
      <c r="BD101" s="186">
        <f>IF($BC$11&gt;0,(BC101/$BC$11)*'DADOS BASE'!W$39,0)</f>
        <v>0</v>
      </c>
      <c r="BE101" s="187"/>
    </row>
    <row r="102" spans="2:57" x14ac:dyDescent="0.3">
      <c r="B102" s="223" t="s">
        <v>210</v>
      </c>
      <c r="C102" s="223" t="s">
        <v>238</v>
      </c>
      <c r="D102" s="223" t="s">
        <v>94</v>
      </c>
      <c r="E102" s="223">
        <v>2012</v>
      </c>
      <c r="F102" s="224"/>
      <c r="G102" s="225"/>
      <c r="H102" s="226">
        <f ca="1">IF(AND(E102&gt;=2018,SUMIF('DADOS BASE'!$C$101:$D$104,D102,'DADOS BASE'!$H$101:$H$104)&gt;J102),
SUMIF('DADOS BASE'!$C$101:$D$104,D102,'DADOS BASE'!$H$101:$H$104),
J102)</f>
        <v>1363368.134230121</v>
      </c>
      <c r="I102" s="225"/>
      <c r="J102" s="226">
        <f t="shared" si="68"/>
        <v>1363368.134230121</v>
      </c>
      <c r="K102" s="226"/>
      <c r="L102" s="227">
        <v>1384.5009761061001</v>
      </c>
      <c r="M102" s="226">
        <f t="shared" si="69"/>
        <v>1.0801234985286473E-3</v>
      </c>
      <c r="N102" s="226">
        <f>L102*'DADOS BASE'!$I$29</f>
        <v>1363368.134230121</v>
      </c>
      <c r="O102" s="228"/>
      <c r="P102" s="227">
        <v>0</v>
      </c>
      <c r="Q102" s="226">
        <f>P102*'DADOS BASE'!$I$33</f>
        <v>0</v>
      </c>
      <c r="R102" s="226"/>
      <c r="S102" s="227">
        <v>0</v>
      </c>
      <c r="T102" s="226">
        <f>S102*'DADOS BASE'!$I$37</f>
        <v>0</v>
      </c>
      <c r="U102" s="226"/>
      <c r="V102" s="226">
        <f t="shared" si="70"/>
        <v>0</v>
      </c>
      <c r="W102" s="228"/>
      <c r="X102" s="226"/>
      <c r="Y102" s="226"/>
      <c r="Z102" s="224"/>
      <c r="AA102" s="226"/>
      <c r="AB102" s="226"/>
      <c r="AC102" s="226"/>
      <c r="AD102" s="226"/>
      <c r="AE102" s="227">
        <v>1047</v>
      </c>
      <c r="AF102" s="227">
        <v>679.04697352314997</v>
      </c>
      <c r="AG102" s="226" t="s">
        <v>155</v>
      </c>
      <c r="AH102" s="229">
        <v>0.66500000000000004</v>
      </c>
      <c r="AI102" s="225">
        <f t="shared" si="71"/>
        <v>451.56623739289478</v>
      </c>
      <c r="AJ102" s="226">
        <f t="shared" si="72"/>
        <v>-7.732190903512276E-2</v>
      </c>
      <c r="AK102" s="226"/>
      <c r="AL102" s="226">
        <f t="shared" si="73"/>
        <v>193.56929453616306</v>
      </c>
      <c r="AM102" s="228">
        <f t="shared" si="74"/>
        <v>131442.64362179273</v>
      </c>
      <c r="AN102" s="226"/>
      <c r="AO102" s="227">
        <v>1.7398815399803</v>
      </c>
      <c r="AP102" s="225"/>
      <c r="AQ102" s="226">
        <f t="shared" si="75"/>
        <v>1181.4612940124202</v>
      </c>
      <c r="AR102" s="226">
        <f t="shared" si="76"/>
        <v>1.2570625785028975E-3</v>
      </c>
      <c r="AS102" s="228">
        <f>AR102*'DADOS BASE'!W$38</f>
        <v>377087.05496768194</v>
      </c>
      <c r="AT102" s="225"/>
      <c r="AU102" s="227">
        <v>0</v>
      </c>
      <c r="AV102" s="227">
        <v>0</v>
      </c>
      <c r="AW102" s="226">
        <f t="shared" si="77"/>
        <v>0</v>
      </c>
      <c r="AX102" s="226">
        <f>IF($AW$11&gt;0,(AW102/$AW$11)*'DADOS BASE'!W$40,0)</f>
        <v>0</v>
      </c>
      <c r="AY102" s="226">
        <f t="shared" si="78"/>
        <v>0</v>
      </c>
      <c r="AZ102" s="226">
        <f t="shared" si="79"/>
        <v>0</v>
      </c>
      <c r="BA102" s="226">
        <f>AZ102*'DADOS BASE'!W$41</f>
        <v>0</v>
      </c>
      <c r="BB102" s="225"/>
      <c r="BC102" s="227">
        <v>0</v>
      </c>
      <c r="BD102" s="226">
        <f>IF($BC$11&gt;0,(BC102/$BC$11)*'DADOS BASE'!W$39,0)</f>
        <v>0</v>
      </c>
      <c r="BE102" s="187"/>
    </row>
    <row r="103" spans="2:57" x14ac:dyDescent="0.3">
      <c r="B103" s="184" t="s">
        <v>210</v>
      </c>
      <c r="C103" s="184" t="s">
        <v>239</v>
      </c>
      <c r="D103" s="184" t="s">
        <v>94</v>
      </c>
      <c r="E103" s="184">
        <v>2015</v>
      </c>
      <c r="F103" s="185"/>
      <c r="H103" s="186">
        <f ca="1">IF(AND(E103&gt;=2018,SUMIF('DADOS BASE'!$C$101:$D$104,D103,'DADOS BASE'!$H$101:$H$104)&gt;J103),
SUMIF('DADOS BASE'!$C$101:$D$104,D103,'DADOS BASE'!$H$101:$H$104),
J103)</f>
        <v>784345.98151262663</v>
      </c>
      <c r="J103" s="186">
        <f t="shared" si="68"/>
        <v>784345.98151262663</v>
      </c>
      <c r="K103" s="186"/>
      <c r="L103" s="188">
        <v>796.50370999930999</v>
      </c>
      <c r="M103" s="186">
        <f t="shared" si="69"/>
        <v>6.2139528153685585E-4</v>
      </c>
      <c r="N103" s="186">
        <f>L103*'DADOS BASE'!$I$29</f>
        <v>784345.98151262663</v>
      </c>
      <c r="O103" s="187"/>
      <c r="P103" s="188">
        <v>0</v>
      </c>
      <c r="Q103" s="186">
        <f>P103*'DADOS BASE'!$I$33</f>
        <v>0</v>
      </c>
      <c r="R103" s="186"/>
      <c r="S103" s="188">
        <v>0</v>
      </c>
      <c r="T103" s="186">
        <f>S103*'DADOS BASE'!$I$37</f>
        <v>0</v>
      </c>
      <c r="U103" s="186"/>
      <c r="V103" s="186">
        <f t="shared" si="70"/>
        <v>0</v>
      </c>
      <c r="W103" s="187"/>
      <c r="X103" s="186"/>
      <c r="Y103" s="186"/>
      <c r="Z103" s="185"/>
      <c r="AA103" s="186"/>
      <c r="AB103" s="186"/>
      <c r="AC103" s="186"/>
      <c r="AD103" s="186"/>
      <c r="AE103" s="188">
        <v>637</v>
      </c>
      <c r="AF103" s="188">
        <v>404.21751817768001</v>
      </c>
      <c r="AG103" s="186" t="s">
        <v>155</v>
      </c>
      <c r="AH103" s="189">
        <v>0.67700000000000005</v>
      </c>
      <c r="AI103" s="183">
        <f t="shared" si="71"/>
        <v>273.65525980628939</v>
      </c>
      <c r="AJ103" s="186">
        <f t="shared" si="72"/>
        <v>-6.1136380278165148E-2</v>
      </c>
      <c r="AK103" s="186"/>
      <c r="AL103" s="186">
        <f t="shared" si="73"/>
        <v>190.66113741348363</v>
      </c>
      <c r="AM103" s="187">
        <f t="shared" si="74"/>
        <v>77068.571778211961</v>
      </c>
      <c r="AN103" s="186"/>
      <c r="AO103" s="188">
        <v>1.755652173913</v>
      </c>
      <c r="AQ103" s="186">
        <f t="shared" si="75"/>
        <v>709.66536452236153</v>
      </c>
      <c r="AR103" s="186">
        <f t="shared" si="76"/>
        <v>7.5507659668730561E-4</v>
      </c>
      <c r="AS103" s="187">
        <f>AR103*'DADOS BASE'!W$38</f>
        <v>226503.92668512638</v>
      </c>
      <c r="AU103" s="188">
        <v>0</v>
      </c>
      <c r="AV103" s="188">
        <v>0</v>
      </c>
      <c r="AW103" s="186">
        <f t="shared" si="77"/>
        <v>0</v>
      </c>
      <c r="AX103" s="186">
        <f>IF($AW$11&gt;0,(AW103/$AW$11)*'DADOS BASE'!W$40,0)</f>
        <v>0</v>
      </c>
      <c r="AY103" s="186">
        <f t="shared" si="78"/>
        <v>0</v>
      </c>
      <c r="AZ103" s="186">
        <f t="shared" si="79"/>
        <v>0</v>
      </c>
      <c r="BA103" s="186">
        <f>AZ103*'DADOS BASE'!W$41</f>
        <v>0</v>
      </c>
      <c r="BC103" s="188">
        <v>0</v>
      </c>
      <c r="BD103" s="186">
        <f>IF($BC$11&gt;0,(BC103/$BC$11)*'DADOS BASE'!W$39,0)</f>
        <v>0</v>
      </c>
      <c r="BE103" s="187"/>
    </row>
    <row r="104" spans="2:57" x14ac:dyDescent="0.3">
      <c r="B104" s="223" t="s">
        <v>210</v>
      </c>
      <c r="C104" s="223" t="s">
        <v>240</v>
      </c>
      <c r="D104" s="223" t="s">
        <v>94</v>
      </c>
      <c r="E104" s="223">
        <v>2015</v>
      </c>
      <c r="F104" s="224"/>
      <c r="G104" s="225"/>
      <c r="H104" s="226">
        <f ca="1">IF(AND(E104&gt;=2018,SUMIF('DADOS BASE'!$C$101:$D$104,D104,'DADOS BASE'!$H$101:$H$104)&gt;J104),
SUMIF('DADOS BASE'!$C$101:$D$104,D104,'DADOS BASE'!$H$101:$H$104),
J104)</f>
        <v>510303.12365616532</v>
      </c>
      <c r="I104" s="225"/>
      <c r="J104" s="226">
        <f t="shared" si="68"/>
        <v>510303.12365616532</v>
      </c>
      <c r="K104" s="226"/>
      <c r="L104" s="227">
        <v>466.28561545815</v>
      </c>
      <c r="M104" s="226">
        <f t="shared" si="69"/>
        <v>3.63774427735502E-4</v>
      </c>
      <c r="N104" s="226">
        <f>L104*'DADOS BASE'!$I$29</f>
        <v>459168.29279057431</v>
      </c>
      <c r="O104" s="228"/>
      <c r="P104" s="227">
        <v>6.8184963099631002</v>
      </c>
      <c r="Q104" s="226">
        <f>P104*'DADOS BASE'!$I$33</f>
        <v>1678.6049184513101</v>
      </c>
      <c r="R104" s="226"/>
      <c r="S104" s="227">
        <v>62.778525641026</v>
      </c>
      <c r="T104" s="226">
        <f>S104*'DADOS BASE'!$I$37</f>
        <v>49456.225947139697</v>
      </c>
      <c r="U104" s="226"/>
      <c r="V104" s="226">
        <f t="shared" si="70"/>
        <v>51134.830865591008</v>
      </c>
      <c r="W104" s="228"/>
      <c r="X104" s="226"/>
      <c r="Y104" s="226"/>
      <c r="Z104" s="224"/>
      <c r="AA104" s="226"/>
      <c r="AB104" s="226"/>
      <c r="AC104" s="226"/>
      <c r="AD104" s="226"/>
      <c r="AE104" s="227">
        <v>372</v>
      </c>
      <c r="AF104" s="227">
        <v>257.76981805114002</v>
      </c>
      <c r="AG104" s="226" t="s">
        <v>155</v>
      </c>
      <c r="AH104" s="229">
        <v>0.754</v>
      </c>
      <c r="AI104" s="225">
        <f t="shared" si="71"/>
        <v>194.35844281055958</v>
      </c>
      <c r="AJ104" s="226">
        <f t="shared" si="72"/>
        <v>4.2720762578979402E-2</v>
      </c>
      <c r="AK104" s="226"/>
      <c r="AL104" s="226">
        <f t="shared" si="73"/>
        <v>172.00046254295748</v>
      </c>
      <c r="AM104" s="228">
        <f t="shared" si="74"/>
        <v>44336.527934410071</v>
      </c>
      <c r="AN104" s="226"/>
      <c r="AO104" s="227">
        <v>1.6105769230769</v>
      </c>
      <c r="AP104" s="225"/>
      <c r="AQ104" s="226">
        <f t="shared" si="75"/>
        <v>415.15812041889745</v>
      </c>
      <c r="AR104" s="226">
        <f t="shared" si="76"/>
        <v>4.4172393965426795E-4</v>
      </c>
      <c r="AS104" s="228">
        <f>AR104*'DADOS BASE'!W$38</f>
        <v>132506.03618423283</v>
      </c>
      <c r="AT104" s="225"/>
      <c r="AU104" s="227">
        <v>43.085683760683999</v>
      </c>
      <c r="AV104" s="227">
        <v>58.5</v>
      </c>
      <c r="AW104" s="226">
        <f t="shared" si="77"/>
        <v>10.771420940171</v>
      </c>
      <c r="AX104" s="226">
        <f>IF($AW$11&gt;0,(AW104/$AW$11)*'DADOS BASE'!W$40,0)</f>
        <v>1935.3698602568556</v>
      </c>
      <c r="AY104" s="226">
        <f t="shared" si="78"/>
        <v>17.348201994986699</v>
      </c>
      <c r="AZ104" s="226">
        <f t="shared" si="79"/>
        <v>9.0731643731025411E-4</v>
      </c>
      <c r="BA104" s="226">
        <f>AZ104*'DADOS BASE'!W$41</f>
        <v>6703.1211619932137</v>
      </c>
      <c r="BB104" s="225"/>
      <c r="BC104" s="227">
        <v>0</v>
      </c>
      <c r="BD104" s="226">
        <f>IF($BC$11&gt;0,(BC104/$BC$11)*'DADOS BASE'!W$39,0)</f>
        <v>0</v>
      </c>
      <c r="BE104" s="187"/>
    </row>
    <row r="105" spans="2:57" x14ac:dyDescent="0.3">
      <c r="B105" s="184" t="s">
        <v>210</v>
      </c>
      <c r="C105" s="184" t="s">
        <v>241</v>
      </c>
      <c r="D105" s="184" t="s">
        <v>94</v>
      </c>
      <c r="E105" s="184">
        <v>2012</v>
      </c>
      <c r="F105" s="185"/>
      <c r="H105" s="186">
        <f ca="1">IF(AND(E105&gt;=2018,SUMIF('DADOS BASE'!$C$101:$D$104,D105,'DADOS BASE'!$H$101:$H$104)&gt;J105),
SUMIF('DADOS BASE'!$C$101:$D$104,D105,'DADOS BASE'!$H$101:$H$104),
J105)</f>
        <v>1250481.9272022978</v>
      </c>
      <c r="J105" s="186">
        <f t="shared" si="68"/>
        <v>1250481.9272022978</v>
      </c>
      <c r="K105" s="186"/>
      <c r="L105" s="188">
        <v>1268.1049802258001</v>
      </c>
      <c r="M105" s="186">
        <f t="shared" si="69"/>
        <v>9.8931673677500219E-4</v>
      </c>
      <c r="N105" s="186">
        <f>L105*'DADOS BASE'!$I$29</f>
        <v>1248748.7916121781</v>
      </c>
      <c r="O105" s="187"/>
      <c r="P105" s="188">
        <v>0</v>
      </c>
      <c r="Q105" s="186">
        <f>P105*'DADOS BASE'!$I$33</f>
        <v>0</v>
      </c>
      <c r="R105" s="186"/>
      <c r="S105" s="188">
        <v>2.2000000000000002</v>
      </c>
      <c r="T105" s="186">
        <f>S105*'DADOS BASE'!$I$37</f>
        <v>1733.1355901197483</v>
      </c>
      <c r="U105" s="186"/>
      <c r="V105" s="186">
        <f t="shared" si="70"/>
        <v>1733.1355901197483</v>
      </c>
      <c r="W105" s="187"/>
      <c r="X105" s="186"/>
      <c r="Y105" s="186"/>
      <c r="Z105" s="185"/>
      <c r="AA105" s="186"/>
      <c r="AB105" s="186"/>
      <c r="AC105" s="186"/>
      <c r="AD105" s="186"/>
      <c r="AE105" s="188">
        <v>876</v>
      </c>
      <c r="AF105" s="188">
        <v>564.15435745321997</v>
      </c>
      <c r="AG105" s="186" t="s">
        <v>155</v>
      </c>
      <c r="AH105" s="189">
        <v>0.67400000000000004</v>
      </c>
      <c r="AI105" s="183">
        <f t="shared" si="71"/>
        <v>380.24003692347031</v>
      </c>
      <c r="AJ105" s="186">
        <f t="shared" si="72"/>
        <v>-6.5182762467404551E-2</v>
      </c>
      <c r="AK105" s="186"/>
      <c r="AL105" s="186">
        <f t="shared" si="73"/>
        <v>191.38817669415349</v>
      </c>
      <c r="AM105" s="187">
        <f t="shared" si="74"/>
        <v>107972.47384703349</v>
      </c>
      <c r="AN105" s="186"/>
      <c r="AO105" s="188">
        <v>2.0543259557344</v>
      </c>
      <c r="AQ105" s="186">
        <f t="shared" si="75"/>
        <v>1158.9569395568124</v>
      </c>
      <c r="AR105" s="186">
        <f t="shared" si="76"/>
        <v>1.2331181784765246E-3</v>
      </c>
      <c r="AS105" s="187">
        <f>AR105*'DADOS BASE'!W$38</f>
        <v>369904.33913211367</v>
      </c>
      <c r="AU105" s="188">
        <v>2.2000000000000002</v>
      </c>
      <c r="AV105" s="188">
        <v>2.75</v>
      </c>
      <c r="AW105" s="186">
        <f t="shared" si="77"/>
        <v>0.55000000000000004</v>
      </c>
      <c r="AX105" s="186">
        <f>IF($AW$11&gt;0,(AW105/$AW$11)*'DADOS BASE'!W$40,0)</f>
        <v>98.822005848039225</v>
      </c>
      <c r="AY105" s="186">
        <f t="shared" si="78"/>
        <v>1.1298792756539202</v>
      </c>
      <c r="AZ105" s="186">
        <f t="shared" si="79"/>
        <v>5.9093042568518438E-5</v>
      </c>
      <c r="BA105" s="186">
        <f>AZ105*'DADOS BASE'!W$41</f>
        <v>436.57075732240247</v>
      </c>
      <c r="BC105" s="188">
        <v>0</v>
      </c>
      <c r="BD105" s="186">
        <f>IF($BC$11&gt;0,(BC105/$BC$11)*'DADOS BASE'!W$39,0)</f>
        <v>0</v>
      </c>
      <c r="BE105" s="187"/>
    </row>
    <row r="106" spans="2:57" x14ac:dyDescent="0.3">
      <c r="B106" s="223" t="s">
        <v>210</v>
      </c>
      <c r="C106" s="223" t="s">
        <v>242</v>
      </c>
      <c r="D106" s="223" t="s">
        <v>94</v>
      </c>
      <c r="E106" s="223">
        <v>2010</v>
      </c>
      <c r="F106" s="224"/>
      <c r="G106" s="225"/>
      <c r="H106" s="226">
        <f ca="1">IF(AND(E106&gt;=2018,SUMIF('DADOS BASE'!$C$101:$D$104,D106,'DADOS BASE'!$H$101:$H$104)&gt;J106),
SUMIF('DADOS BASE'!$C$101:$D$104,D106,'DADOS BASE'!$H$101:$H$104),
J106)</f>
        <v>1877290.5641702893</v>
      </c>
      <c r="I106" s="225"/>
      <c r="J106" s="226">
        <f t="shared" si="68"/>
        <v>1877290.5641702893</v>
      </c>
      <c r="K106" s="226"/>
      <c r="L106" s="227">
        <v>1906.3894433738001</v>
      </c>
      <c r="M106" s="226">
        <f t="shared" si="69"/>
        <v>1.4872766943987978E-3</v>
      </c>
      <c r="N106" s="226">
        <f>L106*'DADOS BASE'!$I$29</f>
        <v>1877290.5641702893</v>
      </c>
      <c r="O106" s="228"/>
      <c r="P106" s="227">
        <v>0</v>
      </c>
      <c r="Q106" s="226">
        <f>P106*'DADOS BASE'!$I$33</f>
        <v>0</v>
      </c>
      <c r="R106" s="226"/>
      <c r="S106" s="227">
        <v>0</v>
      </c>
      <c r="T106" s="226">
        <f>S106*'DADOS BASE'!$I$37</f>
        <v>0</v>
      </c>
      <c r="U106" s="226"/>
      <c r="V106" s="226">
        <f t="shared" si="70"/>
        <v>0</v>
      </c>
      <c r="W106" s="228"/>
      <c r="X106" s="226"/>
      <c r="Y106" s="226"/>
      <c r="Z106" s="224"/>
      <c r="AA106" s="226"/>
      <c r="AB106" s="226"/>
      <c r="AC106" s="226"/>
      <c r="AD106" s="226"/>
      <c r="AE106" s="227">
        <v>983</v>
      </c>
      <c r="AF106" s="227">
        <v>772.26403455952004</v>
      </c>
      <c r="AG106" s="226" t="s">
        <v>155</v>
      </c>
      <c r="AH106" s="229">
        <v>0.67600000000000005</v>
      </c>
      <c r="AI106" s="225">
        <f t="shared" si="71"/>
        <v>522.05048736223557</v>
      </c>
      <c r="AJ106" s="226">
        <f t="shared" si="72"/>
        <v>-6.2485174341244953E-2</v>
      </c>
      <c r="AK106" s="226"/>
      <c r="AL106" s="226">
        <f t="shared" si="73"/>
        <v>190.90348384037358</v>
      </c>
      <c r="AM106" s="228">
        <f t="shared" si="74"/>
        <v>147427.89464203504</v>
      </c>
      <c r="AN106" s="226"/>
      <c r="AO106" s="227">
        <v>2.1830985915493</v>
      </c>
      <c r="AP106" s="225"/>
      <c r="AQ106" s="226">
        <f t="shared" si="75"/>
        <v>1685.9285261510681</v>
      </c>
      <c r="AR106" s="226">
        <f t="shared" si="76"/>
        <v>1.7938104879064889E-3</v>
      </c>
      <c r="AS106" s="228">
        <f>AR106*'DADOS BASE'!W$38</f>
        <v>538097.88440316648</v>
      </c>
      <c r="AT106" s="225"/>
      <c r="AU106" s="227">
        <v>0</v>
      </c>
      <c r="AV106" s="227">
        <v>0</v>
      </c>
      <c r="AW106" s="226">
        <f t="shared" si="77"/>
        <v>0</v>
      </c>
      <c r="AX106" s="226">
        <f>IF($AW$11&gt;0,(AW106/$AW$11)*'DADOS BASE'!W$40,0)</f>
        <v>0</v>
      </c>
      <c r="AY106" s="226">
        <f t="shared" si="78"/>
        <v>0</v>
      </c>
      <c r="AZ106" s="226">
        <f t="shared" si="79"/>
        <v>0</v>
      </c>
      <c r="BA106" s="226">
        <f>AZ106*'DADOS BASE'!W$41</f>
        <v>0</v>
      </c>
      <c r="BB106" s="225"/>
      <c r="BC106" s="227">
        <v>0</v>
      </c>
      <c r="BD106" s="226">
        <f>IF($BC$11&gt;0,(BC106/$BC$11)*'DADOS BASE'!W$39,0)</f>
        <v>0</v>
      </c>
      <c r="BE106" s="187"/>
    </row>
    <row r="107" spans="2:57" x14ac:dyDescent="0.3">
      <c r="B107" s="184" t="s">
        <v>210</v>
      </c>
      <c r="C107" s="184" t="s">
        <v>243</v>
      </c>
      <c r="D107" s="184" t="s">
        <v>94</v>
      </c>
      <c r="E107" s="184">
        <v>2010</v>
      </c>
      <c r="F107" s="185"/>
      <c r="H107" s="186">
        <f ca="1">IF(AND(E107&gt;=2018,SUMIF('DADOS BASE'!$C$101:$D$104,D107,'DADOS BASE'!$H$101:$H$104)&gt;J107),
SUMIF('DADOS BASE'!$C$101:$D$104,D107,'DADOS BASE'!$H$101:$H$104),
J107)</f>
        <v>11939459.834835049</v>
      </c>
      <c r="J107" s="186">
        <f t="shared" si="68"/>
        <v>11939459.834835049</v>
      </c>
      <c r="K107" s="186"/>
      <c r="L107" s="188">
        <v>12030.117636015</v>
      </c>
      <c r="M107" s="186">
        <f t="shared" si="69"/>
        <v>9.3853402583140653E-3</v>
      </c>
      <c r="N107" s="186">
        <f>L107*'DADOS BASE'!$I$29</f>
        <v>11846491.493355026</v>
      </c>
      <c r="O107" s="187"/>
      <c r="P107" s="188">
        <v>373.15757651191001</v>
      </c>
      <c r="Q107" s="186">
        <f>P107*'DADOS BASE'!$I$33</f>
        <v>91865.437013582981</v>
      </c>
      <c r="R107" s="186"/>
      <c r="S107" s="188">
        <v>1.4</v>
      </c>
      <c r="T107" s="186">
        <f>S107*'DADOS BASE'!$I$37</f>
        <v>1102.9044664398398</v>
      </c>
      <c r="U107" s="186"/>
      <c r="V107" s="186">
        <f t="shared" si="70"/>
        <v>92968.34148002282</v>
      </c>
      <c r="W107" s="187"/>
      <c r="X107" s="186"/>
      <c r="Y107" s="186"/>
      <c r="Z107" s="185"/>
      <c r="AA107" s="186"/>
      <c r="AB107" s="186"/>
      <c r="AC107" s="186"/>
      <c r="AD107" s="186"/>
      <c r="AE107" s="188">
        <v>7670</v>
      </c>
      <c r="AF107" s="188">
        <v>5112.0980784003004</v>
      </c>
      <c r="AG107" s="186" t="s">
        <v>155</v>
      </c>
      <c r="AH107" s="189">
        <v>0.75900000000000001</v>
      </c>
      <c r="AI107" s="183">
        <f t="shared" si="71"/>
        <v>3880.0824415058282</v>
      </c>
      <c r="AJ107" s="186">
        <f t="shared" si="72"/>
        <v>4.9464732894378409E-2</v>
      </c>
      <c r="AK107" s="186"/>
      <c r="AL107" s="186">
        <f t="shared" si="73"/>
        <v>170.78873040850775</v>
      </c>
      <c r="AM107" s="187">
        <f t="shared" si="74"/>
        <v>873088.74053375935</v>
      </c>
      <c r="AN107" s="186"/>
      <c r="AO107" s="188">
        <v>1.2293666026871</v>
      </c>
      <c r="AQ107" s="186">
        <f t="shared" si="75"/>
        <v>6284.642647246229</v>
      </c>
      <c r="AR107" s="186">
        <f t="shared" si="76"/>
        <v>6.6867946763506658E-3</v>
      </c>
      <c r="AS107" s="187">
        <f>AR107*'DADOS BASE'!W$38</f>
        <v>2005869.6796794627</v>
      </c>
      <c r="AU107" s="188">
        <v>1.4</v>
      </c>
      <c r="AV107" s="188">
        <v>155.5</v>
      </c>
      <c r="AW107" s="186">
        <f t="shared" si="77"/>
        <v>0.35</v>
      </c>
      <c r="AX107" s="186">
        <f>IF($AW$11&gt;0,(AW107/$AW$11)*'DADOS BASE'!W$40,0)</f>
        <v>62.886730994206765</v>
      </c>
      <c r="AY107" s="186">
        <f t="shared" si="78"/>
        <v>0.43027831094048496</v>
      </c>
      <c r="AZ107" s="186">
        <f t="shared" si="79"/>
        <v>2.2503691405438576E-5</v>
      </c>
      <c r="BA107" s="186">
        <f>AZ107*'DADOS BASE'!W$41</f>
        <v>166.25398138927264</v>
      </c>
      <c r="BC107" s="188">
        <v>0</v>
      </c>
      <c r="BD107" s="186">
        <f>IF($BC$11&gt;0,(BC107/$BC$11)*'DADOS BASE'!W$39,0)</f>
        <v>0</v>
      </c>
      <c r="BE107" s="187"/>
    </row>
    <row r="108" spans="2:57" x14ac:dyDescent="0.3">
      <c r="B108" s="223" t="s">
        <v>210</v>
      </c>
      <c r="C108" s="223" t="s">
        <v>244</v>
      </c>
      <c r="D108" s="223" t="s">
        <v>94</v>
      </c>
      <c r="E108" s="223">
        <v>2010</v>
      </c>
      <c r="F108" s="224"/>
      <c r="G108" s="225"/>
      <c r="H108" s="226">
        <f ca="1">IF(AND(E108&gt;=2018,SUMIF('DADOS BASE'!$C$101:$D$104,D108,'DADOS BASE'!$H$101:$H$104)&gt;J108),
SUMIF('DADOS BASE'!$C$101:$D$104,D108,'DADOS BASE'!$H$101:$H$104),
J108)</f>
        <v>1306442.6656463149</v>
      </c>
      <c r="I108" s="225"/>
      <c r="J108" s="226">
        <f t="shared" si="68"/>
        <v>1306442.6656463149</v>
      </c>
      <c r="K108" s="226"/>
      <c r="L108" s="227">
        <v>1282.8568010319</v>
      </c>
      <c r="M108" s="226">
        <f t="shared" si="69"/>
        <v>1.000825423712563E-3</v>
      </c>
      <c r="N108" s="226">
        <f>L108*'DADOS BASE'!$I$29</f>
        <v>1263275.4425542923</v>
      </c>
      <c r="O108" s="228"/>
      <c r="P108" s="227">
        <v>175.3453407225</v>
      </c>
      <c r="Q108" s="226">
        <f>P108*'DADOS BASE'!$I$33</f>
        <v>43167.22309202249</v>
      </c>
      <c r="R108" s="226"/>
      <c r="S108" s="227">
        <v>0</v>
      </c>
      <c r="T108" s="226">
        <f>S108*'DADOS BASE'!$I$37</f>
        <v>0</v>
      </c>
      <c r="U108" s="226"/>
      <c r="V108" s="226">
        <f t="shared" si="70"/>
        <v>43167.22309202249</v>
      </c>
      <c r="W108" s="228"/>
      <c r="X108" s="226"/>
      <c r="Y108" s="226"/>
      <c r="Z108" s="224"/>
      <c r="AA108" s="226"/>
      <c r="AB108" s="226"/>
      <c r="AC108" s="226"/>
      <c r="AD108" s="226"/>
      <c r="AE108" s="227">
        <v>853</v>
      </c>
      <c r="AF108" s="227">
        <v>577.74186859133999</v>
      </c>
      <c r="AG108" s="226" t="s">
        <v>155</v>
      </c>
      <c r="AH108" s="229">
        <v>0.64600000000000002</v>
      </c>
      <c r="AI108" s="225">
        <f t="shared" si="71"/>
        <v>373.22124711000566</v>
      </c>
      <c r="AJ108" s="226">
        <f t="shared" si="72"/>
        <v>-0.10294899623363898</v>
      </c>
      <c r="AK108" s="226"/>
      <c r="AL108" s="226">
        <f t="shared" si="73"/>
        <v>198.17387664707209</v>
      </c>
      <c r="AM108" s="228">
        <f t="shared" si="74"/>
        <v>114493.34580006915</v>
      </c>
      <c r="AN108" s="226"/>
      <c r="AO108" s="227">
        <v>2.2887864823349</v>
      </c>
      <c r="AP108" s="225"/>
      <c r="AQ108" s="226">
        <f t="shared" si="75"/>
        <v>1322.3277791107651</v>
      </c>
      <c r="AR108" s="226">
        <f t="shared" si="76"/>
        <v>1.4069430594630327E-3</v>
      </c>
      <c r="AS108" s="228">
        <f>AR108*'DADOS BASE'!W$38</f>
        <v>422047.41742609465</v>
      </c>
      <c r="AT108" s="225"/>
      <c r="AU108" s="227">
        <v>0</v>
      </c>
      <c r="AV108" s="227">
        <v>23.25</v>
      </c>
      <c r="AW108" s="226">
        <f t="shared" si="77"/>
        <v>0</v>
      </c>
      <c r="AX108" s="226">
        <f>IF($AW$11&gt;0,(AW108/$AW$11)*'DADOS BASE'!W$40,0)</f>
        <v>0</v>
      </c>
      <c r="AY108" s="226">
        <f t="shared" si="78"/>
        <v>0</v>
      </c>
      <c r="AZ108" s="226">
        <f t="shared" si="79"/>
        <v>0</v>
      </c>
      <c r="BA108" s="226">
        <f>AZ108*'DADOS BASE'!W$41</f>
        <v>0</v>
      </c>
      <c r="BB108" s="225"/>
      <c r="BC108" s="227">
        <v>0</v>
      </c>
      <c r="BD108" s="226">
        <f>IF($BC$11&gt;0,(BC108/$BC$11)*'DADOS BASE'!W$39,0)</f>
        <v>0</v>
      </c>
      <c r="BE108" s="187"/>
    </row>
    <row r="109" spans="2:57" x14ac:dyDescent="0.3">
      <c r="B109" s="184" t="s">
        <v>210</v>
      </c>
      <c r="C109" s="184" t="s">
        <v>245</v>
      </c>
      <c r="D109" s="184" t="s">
        <v>94</v>
      </c>
      <c r="E109" s="184">
        <v>2015</v>
      </c>
      <c r="F109" s="185"/>
      <c r="H109" s="186">
        <f ca="1">IF(AND(E109&gt;=2018,SUMIF('DADOS BASE'!$C$101:$D$104,D109,'DADOS BASE'!$H$101:$H$104)&gt;J109),
SUMIF('DADOS BASE'!$C$101:$D$104,D109,'DADOS BASE'!$H$101:$H$104),
J109)</f>
        <v>371665.20156923175</v>
      </c>
      <c r="J109" s="186">
        <f t="shared" si="68"/>
        <v>371665.20156923175</v>
      </c>
      <c r="K109" s="186"/>
      <c r="L109" s="188">
        <v>345.63724462801002</v>
      </c>
      <c r="M109" s="186">
        <f t="shared" si="69"/>
        <v>2.6965016011718445E-4</v>
      </c>
      <c r="N109" s="186">
        <f>L109*'DADOS BASE'!$I$29</f>
        <v>340361.48291802837</v>
      </c>
      <c r="O109" s="187"/>
      <c r="P109" s="188">
        <v>0</v>
      </c>
      <c r="Q109" s="186">
        <f>P109*'DADOS BASE'!$I$33</f>
        <v>0</v>
      </c>
      <c r="R109" s="186"/>
      <c r="S109" s="188">
        <v>39.736176110658</v>
      </c>
      <c r="T109" s="186">
        <f>S109*'DADOS BASE'!$I$37</f>
        <v>31303.718651203406</v>
      </c>
      <c r="U109" s="186"/>
      <c r="V109" s="186">
        <f t="shared" si="70"/>
        <v>31303.718651203406</v>
      </c>
      <c r="W109" s="187"/>
      <c r="X109" s="186"/>
      <c r="Y109" s="186"/>
      <c r="Z109" s="185"/>
      <c r="AA109" s="186"/>
      <c r="AB109" s="186"/>
      <c r="AC109" s="186"/>
      <c r="AD109" s="186"/>
      <c r="AE109" s="188">
        <v>446</v>
      </c>
      <c r="AF109" s="188">
        <v>254.49596503388</v>
      </c>
      <c r="AG109" s="186" t="s">
        <v>155</v>
      </c>
      <c r="AH109" s="189">
        <v>0.7</v>
      </c>
      <c r="AI109" s="183">
        <f t="shared" si="71"/>
        <v>178.14717552371599</v>
      </c>
      <c r="AJ109" s="186">
        <f t="shared" si="72"/>
        <v>-3.0114116827329871E-2</v>
      </c>
      <c r="AK109" s="186"/>
      <c r="AL109" s="186">
        <f t="shared" si="73"/>
        <v>185.08716959501481</v>
      </c>
      <c r="AM109" s="187">
        <f t="shared" si="74"/>
        <v>47103.937841472703</v>
      </c>
      <c r="AN109" s="186"/>
      <c r="AO109" s="188">
        <v>2.0881901840491</v>
      </c>
      <c r="AQ109" s="186">
        <f t="shared" si="75"/>
        <v>531.43597606385117</v>
      </c>
      <c r="AR109" s="186">
        <f t="shared" si="76"/>
        <v>5.6544237358063288E-4</v>
      </c>
      <c r="AS109" s="187">
        <f>AR109*'DADOS BASE'!W$38</f>
        <v>169618.44466119807</v>
      </c>
      <c r="AU109" s="188">
        <v>33.718490259338999</v>
      </c>
      <c r="AV109" s="188">
        <v>92.5</v>
      </c>
      <c r="AW109" s="186">
        <f t="shared" si="77"/>
        <v>8.4296225648347498</v>
      </c>
      <c r="AX109" s="186">
        <f>IF($AW$11&gt;0,(AW109/$AW$11)*'DADOS BASE'!W$40,0)</f>
        <v>1514.6040189070234</v>
      </c>
      <c r="AY109" s="186">
        <f t="shared" si="78"/>
        <v>17.602655095126721</v>
      </c>
      <c r="AZ109" s="186">
        <f t="shared" si="79"/>
        <v>9.2062441472187933E-4</v>
      </c>
      <c r="BA109" s="186">
        <f>AZ109*'DADOS BASE'!W$41</f>
        <v>6801.4385530851705</v>
      </c>
      <c r="BC109" s="188">
        <v>0</v>
      </c>
      <c r="BD109" s="186">
        <f>IF($BC$11&gt;0,(BC109/$BC$11)*'DADOS BASE'!W$39,0)</f>
        <v>0</v>
      </c>
      <c r="BE109" s="187"/>
    </row>
    <row r="110" spans="2:57" x14ac:dyDescent="0.3">
      <c r="B110" s="223" t="s">
        <v>210</v>
      </c>
      <c r="C110" s="223" t="s">
        <v>246</v>
      </c>
      <c r="D110" s="223" t="s">
        <v>94</v>
      </c>
      <c r="E110" s="223">
        <v>2013</v>
      </c>
      <c r="F110" s="224"/>
      <c r="G110" s="225"/>
      <c r="H110" s="226">
        <f ca="1">IF(AND(E110&gt;=2018,SUMIF('DADOS BASE'!$C$101:$D$104,D110,'DADOS BASE'!$H$101:$H$104)&gt;J110),
SUMIF('DADOS BASE'!$C$101:$D$104,D110,'DADOS BASE'!$H$101:$H$104),
J110)</f>
        <v>635163.78120095714</v>
      </c>
      <c r="I110" s="225"/>
      <c r="J110" s="226">
        <f t="shared" si="68"/>
        <v>635163.78120095714</v>
      </c>
      <c r="K110" s="226"/>
      <c r="L110" s="227">
        <v>630.26437379046001</v>
      </c>
      <c r="M110" s="226">
        <f t="shared" si="69"/>
        <v>4.9170305558841952E-4</v>
      </c>
      <c r="N110" s="226">
        <f>L110*'DADOS BASE'!$I$29</f>
        <v>620644.10079589917</v>
      </c>
      <c r="O110" s="228"/>
      <c r="P110" s="227">
        <v>58.978968889874999</v>
      </c>
      <c r="Q110" s="226">
        <f>P110*'DADOS BASE'!$I$33</f>
        <v>14519.680405057923</v>
      </c>
      <c r="R110" s="226"/>
      <c r="S110" s="227">
        <v>0</v>
      </c>
      <c r="T110" s="226">
        <f>S110*'DADOS BASE'!$I$37</f>
        <v>0</v>
      </c>
      <c r="U110" s="226"/>
      <c r="V110" s="226">
        <f t="shared" si="70"/>
        <v>14519.680405057923</v>
      </c>
      <c r="W110" s="228"/>
      <c r="X110" s="226"/>
      <c r="Y110" s="226"/>
      <c r="Z110" s="224"/>
      <c r="AA110" s="226"/>
      <c r="AB110" s="226"/>
      <c r="AC110" s="226"/>
      <c r="AD110" s="226"/>
      <c r="AE110" s="227">
        <v>621</v>
      </c>
      <c r="AF110" s="227">
        <v>420.17624919363999</v>
      </c>
      <c r="AG110" s="226" t="s">
        <v>155</v>
      </c>
      <c r="AH110" s="229">
        <v>0.63500000000000001</v>
      </c>
      <c r="AI110" s="225">
        <f t="shared" si="71"/>
        <v>266.81191823796138</v>
      </c>
      <c r="AJ110" s="226">
        <f t="shared" si="72"/>
        <v>-0.1177857309275168</v>
      </c>
      <c r="AK110" s="226"/>
      <c r="AL110" s="226">
        <f t="shared" si="73"/>
        <v>200.83968734286157</v>
      </c>
      <c r="AM110" s="228">
        <f t="shared" si="74"/>
        <v>84388.066516946943</v>
      </c>
      <c r="AN110" s="226"/>
      <c r="AO110" s="227">
        <v>1.5299684542587</v>
      </c>
      <c r="AP110" s="225"/>
      <c r="AQ110" s="226">
        <f t="shared" si="75"/>
        <v>642.8564064950117</v>
      </c>
      <c r="AR110" s="226">
        <f t="shared" si="76"/>
        <v>6.839925573958167E-4</v>
      </c>
      <c r="AS110" s="228">
        <f>AR110*'DADOS BASE'!W$38</f>
        <v>205180.50851165893</v>
      </c>
      <c r="AT110" s="225"/>
      <c r="AU110" s="227">
        <v>0</v>
      </c>
      <c r="AV110" s="227">
        <v>21.5</v>
      </c>
      <c r="AW110" s="226">
        <f t="shared" si="77"/>
        <v>0</v>
      </c>
      <c r="AX110" s="226">
        <f>IF($AW$11&gt;0,(AW110/$AW$11)*'DADOS BASE'!W$40,0)</f>
        <v>0</v>
      </c>
      <c r="AY110" s="226">
        <f t="shared" si="78"/>
        <v>0</v>
      </c>
      <c r="AZ110" s="226">
        <f t="shared" si="79"/>
        <v>0</v>
      </c>
      <c r="BA110" s="226">
        <f>AZ110*'DADOS BASE'!W$41</f>
        <v>0</v>
      </c>
      <c r="BB110" s="225"/>
      <c r="BC110" s="227">
        <v>0</v>
      </c>
      <c r="BD110" s="226">
        <f>IF($BC$11&gt;0,(BC110/$BC$11)*'DADOS BASE'!W$39,0)</f>
        <v>0</v>
      </c>
      <c r="BE110" s="187"/>
    </row>
    <row r="111" spans="2:57" x14ac:dyDescent="0.3">
      <c r="B111" s="184" t="s">
        <v>210</v>
      </c>
      <c r="C111" s="184" t="s">
        <v>247</v>
      </c>
      <c r="D111" s="184" t="s">
        <v>94</v>
      </c>
      <c r="E111" s="184">
        <v>2010</v>
      </c>
      <c r="F111" s="185"/>
      <c r="H111" s="186">
        <f ca="1">IF(AND(E111&gt;=2018,SUMIF('DADOS BASE'!$C$101:$D$104,D111,'DADOS BASE'!$H$101:$H$104)&gt;J111),
SUMIF('DADOS BASE'!$C$101:$D$104,D111,'DADOS BASE'!$H$101:$H$104),
J111)</f>
        <v>2233481.751999455</v>
      </c>
      <c r="J111" s="186">
        <f t="shared" si="68"/>
        <v>2233481.751999455</v>
      </c>
      <c r="K111" s="186"/>
      <c r="L111" s="188">
        <v>2262.4320431479</v>
      </c>
      <c r="M111" s="186">
        <f t="shared" si="69"/>
        <v>1.7650446303773164E-3</v>
      </c>
      <c r="N111" s="186">
        <f>L111*'DADOS BASE'!$I$29</f>
        <v>2227898.5762539562</v>
      </c>
      <c r="O111" s="187"/>
      <c r="P111" s="188">
        <v>22.678870292887002</v>
      </c>
      <c r="Q111" s="186">
        <f>P111*'DADOS BASE'!$I$33</f>
        <v>5583.1757454988547</v>
      </c>
      <c r="R111" s="186"/>
      <c r="S111" s="188">
        <v>0</v>
      </c>
      <c r="T111" s="186">
        <f>S111*'DADOS BASE'!$I$37</f>
        <v>0</v>
      </c>
      <c r="U111" s="186"/>
      <c r="V111" s="186">
        <f t="shared" si="70"/>
        <v>5583.1757454988547</v>
      </c>
      <c r="W111" s="187"/>
      <c r="X111" s="186"/>
      <c r="Y111" s="186"/>
      <c r="Z111" s="185"/>
      <c r="AA111" s="186"/>
      <c r="AB111" s="186"/>
      <c r="AC111" s="186"/>
      <c r="AD111" s="186"/>
      <c r="AE111" s="188">
        <v>1463</v>
      </c>
      <c r="AF111" s="188">
        <v>904.97281725916002</v>
      </c>
      <c r="AG111" s="186" t="s">
        <v>155</v>
      </c>
      <c r="AH111" s="189">
        <v>0.67500000000000004</v>
      </c>
      <c r="AI111" s="183">
        <f t="shared" si="71"/>
        <v>610.85665164993304</v>
      </c>
      <c r="AJ111" s="186">
        <f t="shared" si="72"/>
        <v>-6.3833968404324745E-2</v>
      </c>
      <c r="AK111" s="186"/>
      <c r="AL111" s="186">
        <f t="shared" si="73"/>
        <v>191.14583026726353</v>
      </c>
      <c r="AM111" s="187">
        <f t="shared" si="74"/>
        <v>172981.7805243067</v>
      </c>
      <c r="AN111" s="186"/>
      <c r="AO111" s="188">
        <v>1.8724525650035</v>
      </c>
      <c r="AQ111" s="186">
        <f t="shared" si="75"/>
        <v>1694.5186729353579</v>
      </c>
      <c r="AR111" s="186">
        <f t="shared" si="76"/>
        <v>1.8029503151027781E-3</v>
      </c>
      <c r="AS111" s="187">
        <f>AR111*'DADOS BASE'!W$38</f>
        <v>540839.60194316902</v>
      </c>
      <c r="AU111" s="188">
        <v>0</v>
      </c>
      <c r="AV111" s="188">
        <v>8.25</v>
      </c>
      <c r="AW111" s="186">
        <f t="shared" si="77"/>
        <v>0</v>
      </c>
      <c r="AX111" s="186">
        <f>IF($AW$11&gt;0,(AW111/$AW$11)*'DADOS BASE'!W$40,0)</f>
        <v>0</v>
      </c>
      <c r="AY111" s="186">
        <f t="shared" si="78"/>
        <v>0</v>
      </c>
      <c r="AZ111" s="186">
        <f t="shared" si="79"/>
        <v>0</v>
      </c>
      <c r="BA111" s="186">
        <f>AZ111*'DADOS BASE'!W$41</f>
        <v>0</v>
      </c>
      <c r="BC111" s="188">
        <v>0</v>
      </c>
      <c r="BD111" s="186">
        <f>IF($BC$11&gt;0,(BC111/$BC$11)*'DADOS BASE'!W$39,0)</f>
        <v>0</v>
      </c>
      <c r="BE111" s="187"/>
    </row>
    <row r="112" spans="2:57" x14ac:dyDescent="0.3">
      <c r="B112" s="223" t="s">
        <v>210</v>
      </c>
      <c r="C112" s="223" t="s">
        <v>248</v>
      </c>
      <c r="D112" s="223" t="s">
        <v>94</v>
      </c>
      <c r="E112" s="223">
        <v>2010</v>
      </c>
      <c r="F112" s="224"/>
      <c r="G112" s="225"/>
      <c r="H112" s="226">
        <f ca="1">IF(AND(E112&gt;=2018,SUMIF('DADOS BASE'!$C$101:$D$104,D112,'DADOS BASE'!$H$101:$H$104)&gt;J112),
SUMIF('DADOS BASE'!$C$101:$D$104,D112,'DADOS BASE'!$H$101:$H$104),
J112)</f>
        <v>2041132.8637205635</v>
      </c>
      <c r="I112" s="225"/>
      <c r="J112" s="226">
        <f t="shared" si="68"/>
        <v>2041132.8637205635</v>
      </c>
      <c r="K112" s="226"/>
      <c r="L112" s="227">
        <v>2071.1913749736</v>
      </c>
      <c r="M112" s="226">
        <f t="shared" si="69"/>
        <v>1.6158475238860377E-3</v>
      </c>
      <c r="N112" s="226">
        <f>L112*'DADOS BASE'!$I$29</f>
        <v>2039576.9806339787</v>
      </c>
      <c r="O112" s="228"/>
      <c r="P112" s="227">
        <v>0</v>
      </c>
      <c r="Q112" s="226">
        <f>P112*'DADOS BASE'!$I$33</f>
        <v>0</v>
      </c>
      <c r="R112" s="226"/>
      <c r="S112" s="227">
        <v>1.9750000000000001</v>
      </c>
      <c r="T112" s="226">
        <f>S112*'DADOS BASE'!$I$37</f>
        <v>1555.883086584774</v>
      </c>
      <c r="U112" s="226"/>
      <c r="V112" s="226">
        <f t="shared" si="70"/>
        <v>1555.883086584774</v>
      </c>
      <c r="W112" s="228"/>
      <c r="X112" s="226"/>
      <c r="Y112" s="226"/>
      <c r="Z112" s="224"/>
      <c r="AA112" s="226"/>
      <c r="AB112" s="226"/>
      <c r="AC112" s="226"/>
      <c r="AD112" s="226"/>
      <c r="AE112" s="227">
        <v>1195</v>
      </c>
      <c r="AF112" s="227">
        <v>919.69259559618001</v>
      </c>
      <c r="AG112" s="226" t="s">
        <v>155</v>
      </c>
      <c r="AH112" s="229">
        <v>0.623</v>
      </c>
      <c r="AI112" s="225">
        <f t="shared" si="71"/>
        <v>572.96848705642014</v>
      </c>
      <c r="AJ112" s="226">
        <f t="shared" si="72"/>
        <v>-0.13397125968447443</v>
      </c>
      <c r="AK112" s="226"/>
      <c r="AL112" s="226">
        <f t="shared" si="73"/>
        <v>203.74784446554096</v>
      </c>
      <c r="AM112" s="228">
        <f t="shared" si="74"/>
        <v>187385.38392364015</v>
      </c>
      <c r="AN112" s="226"/>
      <c r="AO112" s="227">
        <v>1.7478580171358999</v>
      </c>
      <c r="AP112" s="225"/>
      <c r="AQ112" s="226">
        <f t="shared" si="75"/>
        <v>1607.4920765133083</v>
      </c>
      <c r="AR112" s="226">
        <f t="shared" si="76"/>
        <v>1.7103549179864654E-3</v>
      </c>
      <c r="AS112" s="228">
        <f>AR112*'DADOS BASE'!W$38</f>
        <v>513063.31920334132</v>
      </c>
      <c r="AT112" s="225"/>
      <c r="AU112" s="227">
        <v>1.9750000000000001</v>
      </c>
      <c r="AV112" s="227">
        <v>5</v>
      </c>
      <c r="AW112" s="226">
        <f t="shared" si="77"/>
        <v>0.49375000000000002</v>
      </c>
      <c r="AX112" s="226">
        <f>IF($AW$11&gt;0,(AW112/$AW$11)*'DADOS BASE'!W$40,0)</f>
        <v>88.715209795398835</v>
      </c>
      <c r="AY112" s="226">
        <f t="shared" si="78"/>
        <v>0.86300489596085062</v>
      </c>
      <c r="AZ112" s="226">
        <f t="shared" si="79"/>
        <v>4.5135428317631018E-5</v>
      </c>
      <c r="BA112" s="226">
        <f>AZ112*'DADOS BASE'!W$41</f>
        <v>333.45394425835224</v>
      </c>
      <c r="BB112" s="225"/>
      <c r="BC112" s="227">
        <v>0</v>
      </c>
      <c r="BD112" s="226">
        <f>IF($BC$11&gt;0,(BC112/$BC$11)*'DADOS BASE'!W$39,0)</f>
        <v>0</v>
      </c>
      <c r="BE112" s="187"/>
    </row>
    <row r="113" spans="2:57" x14ac:dyDescent="0.3">
      <c r="B113" s="184" t="s">
        <v>210</v>
      </c>
      <c r="C113" s="184" t="s">
        <v>249</v>
      </c>
      <c r="D113" s="184" t="s">
        <v>94</v>
      </c>
      <c r="E113" s="184">
        <v>2010</v>
      </c>
      <c r="F113" s="185"/>
      <c r="H113" s="186">
        <f ca="1">IF(AND(E113&gt;=2018,SUMIF('DADOS BASE'!$C$101:$D$104,D113,'DADOS BASE'!$H$101:$H$104)&gt;J113),
SUMIF('DADOS BASE'!$C$101:$D$104,D113,'DADOS BASE'!$H$101:$H$104),
J113)</f>
        <v>3728321.2938724193</v>
      </c>
      <c r="J113" s="186">
        <f t="shared" si="68"/>
        <v>3728321.2938724193</v>
      </c>
      <c r="K113" s="186"/>
      <c r="L113" s="188">
        <v>3781.0405840276999</v>
      </c>
      <c r="M113" s="186">
        <f t="shared" si="69"/>
        <v>2.9497926358889224E-3</v>
      </c>
      <c r="N113" s="186">
        <f>L113*'DADOS BASE'!$I$29</f>
        <v>3723327.2749236166</v>
      </c>
      <c r="O113" s="187"/>
      <c r="P113" s="188">
        <v>4.2857142857142998</v>
      </c>
      <c r="Q113" s="186">
        <f>P113*'DADOS BASE'!$I$33</f>
        <v>1055.0744258034215</v>
      </c>
      <c r="R113" s="186"/>
      <c r="S113" s="188">
        <v>5</v>
      </c>
      <c r="T113" s="186">
        <f>S113*'DADOS BASE'!$I$37</f>
        <v>3938.9445229994276</v>
      </c>
      <c r="U113" s="186"/>
      <c r="V113" s="186">
        <f t="shared" si="70"/>
        <v>4994.0189488028491</v>
      </c>
      <c r="W113" s="187"/>
      <c r="X113" s="186"/>
      <c r="Y113" s="186"/>
      <c r="Z113" s="185"/>
      <c r="AA113" s="186"/>
      <c r="AB113" s="186"/>
      <c r="AC113" s="186"/>
      <c r="AD113" s="186"/>
      <c r="AE113" s="188">
        <v>2532</v>
      </c>
      <c r="AF113" s="188">
        <v>1706.227461598</v>
      </c>
      <c r="AG113" s="186" t="s">
        <v>155</v>
      </c>
      <c r="AH113" s="189">
        <v>0.67800000000000005</v>
      </c>
      <c r="AI113" s="183">
        <f t="shared" si="71"/>
        <v>1156.8222189634441</v>
      </c>
      <c r="AJ113" s="186">
        <f t="shared" si="72"/>
        <v>-5.9787586215085349E-2</v>
      </c>
      <c r="AK113" s="186"/>
      <c r="AL113" s="186">
        <f t="shared" si="73"/>
        <v>190.41879098659368</v>
      </c>
      <c r="AM113" s="187">
        <f t="shared" si="74"/>
        <v>324897.77038561588</v>
      </c>
      <c r="AN113" s="186"/>
      <c r="AO113" s="188">
        <v>2.0434782608696</v>
      </c>
      <c r="AQ113" s="186">
        <f t="shared" si="75"/>
        <v>3486.6387258742334</v>
      </c>
      <c r="AR113" s="186">
        <f t="shared" si="76"/>
        <v>3.7097474875122274E-3</v>
      </c>
      <c r="AS113" s="187">
        <f>AR113*'DADOS BASE'!W$38</f>
        <v>1112830.6407830268</v>
      </c>
      <c r="AU113" s="188">
        <v>5</v>
      </c>
      <c r="AV113" s="188">
        <v>11.75</v>
      </c>
      <c r="AW113" s="186">
        <f t="shared" si="77"/>
        <v>1.25</v>
      </c>
      <c r="AX113" s="186">
        <f>IF($AW$11&gt;0,(AW113/$AW$11)*'DADOS BASE'!W$40,0)</f>
        <v>224.59546783645274</v>
      </c>
      <c r="AY113" s="186">
        <f t="shared" si="78"/>
        <v>2.5543478260870001</v>
      </c>
      <c r="AZ113" s="186">
        <f t="shared" si="79"/>
        <v>1.335931971443607E-4</v>
      </c>
      <c r="BA113" s="186">
        <f>AZ113*'DADOS BASE'!W$41</f>
        <v>986.96700517339468</v>
      </c>
      <c r="BC113" s="188">
        <v>0</v>
      </c>
      <c r="BD113" s="186">
        <f>IF($BC$11&gt;0,(BC113/$BC$11)*'DADOS BASE'!W$39,0)</f>
        <v>0</v>
      </c>
      <c r="BE113" s="187"/>
    </row>
    <row r="114" spans="2:57" x14ac:dyDescent="0.3">
      <c r="F114" s="185"/>
      <c r="H114" s="186"/>
      <c r="J114" s="186"/>
      <c r="K114" s="186"/>
      <c r="L114" s="186"/>
      <c r="M114" s="186"/>
      <c r="N114" s="186"/>
      <c r="O114" s="187"/>
      <c r="P114" s="186"/>
      <c r="Q114" s="186"/>
      <c r="R114" s="186"/>
      <c r="S114" s="186"/>
      <c r="T114" s="186"/>
      <c r="U114" s="186"/>
      <c r="V114" s="186"/>
      <c r="W114" s="187"/>
      <c r="X114" s="186"/>
      <c r="Y114" s="186"/>
      <c r="Z114" s="185"/>
      <c r="AA114" s="186"/>
      <c r="AB114" s="186"/>
      <c r="AC114" s="186"/>
      <c r="AD114" s="186"/>
      <c r="AE114" s="186"/>
      <c r="AF114" s="186"/>
      <c r="AG114" s="186"/>
      <c r="AH114" s="185"/>
      <c r="AJ114" s="186"/>
      <c r="AK114" s="186"/>
      <c r="AL114" s="186"/>
      <c r="AM114" s="187"/>
      <c r="AN114" s="186"/>
      <c r="AO114" s="186"/>
      <c r="AQ114" s="186"/>
      <c r="AR114" s="186"/>
      <c r="AS114" s="187"/>
      <c r="AU114" s="186"/>
      <c r="AV114" s="186"/>
      <c r="AW114" s="186"/>
      <c r="AX114" s="186"/>
      <c r="AY114" s="186"/>
      <c r="AZ114" s="186"/>
      <c r="BA114" s="186"/>
      <c r="BC114" s="186"/>
      <c r="BD114" s="186"/>
      <c r="BE114" s="187"/>
    </row>
    <row r="115" spans="2:57" x14ac:dyDescent="0.3">
      <c r="B115" s="209" t="s">
        <v>250</v>
      </c>
      <c r="C115" s="209" t="s">
        <v>251</v>
      </c>
      <c r="D115" s="211" t="s">
        <v>154</v>
      </c>
      <c r="E115" s="211"/>
      <c r="F115" s="210"/>
      <c r="G115" s="211"/>
      <c r="H115" s="212">
        <f ca="1">SUM(H116:H149)</f>
        <v>68070851.879588187</v>
      </c>
      <c r="I115" s="211"/>
      <c r="J115" s="212">
        <f>SUM(J116:J149)</f>
        <v>67375460.444680095</v>
      </c>
      <c r="K115" s="212"/>
      <c r="L115" s="212">
        <f>SUM(L116:L149)</f>
        <v>67983.359574722446</v>
      </c>
      <c r="M115" s="212">
        <f>SUM(M116:M149)</f>
        <v>5.3037466533322954E-2</v>
      </c>
      <c r="N115" s="212">
        <f>SUM(N116:N149)</f>
        <v>66945670.462988436</v>
      </c>
      <c r="O115" s="214"/>
      <c r="P115" s="212">
        <f>SUM(P116:P149)</f>
        <v>211.58658499990801</v>
      </c>
      <c r="Q115" s="212">
        <f>SUM(Q116:Q149)</f>
        <v>52089.23875784628</v>
      </c>
      <c r="R115" s="212"/>
      <c r="S115" s="212">
        <f>SUM(S116:S149)</f>
        <v>479.444100733619</v>
      </c>
      <c r="T115" s="212">
        <f>SUM(T116:T149)</f>
        <v>377700.74293381488</v>
      </c>
      <c r="U115" s="212"/>
      <c r="V115" s="212">
        <f>SUM(V116:V149)</f>
        <v>429789.98169166117</v>
      </c>
      <c r="W115" s="214"/>
      <c r="X115" s="212">
        <f>SUMIF(INDICADORES!$D$13:$D$53,C115,INDICADORES!$L$13:$L$53)</f>
        <v>7.0087010908555774E-3</v>
      </c>
      <c r="Y115" s="212">
        <f>X115*'DADOS BASE'!$I$79</f>
        <v>291023.81301066943</v>
      </c>
      <c r="Z115" s="210">
        <f>SUMIF(INDICADORES!$D$13:$D$53,C115,INDICADORES!$R$13:$R$53)</f>
        <v>3.7509312854604841E-2</v>
      </c>
      <c r="AA115" s="212">
        <f>Z115*'DADOS BASE'!$I$84</f>
        <v>1557507.3196657971</v>
      </c>
      <c r="AB115" s="212">
        <f>SUMIF(INDICADORES!$D$13:$D$53,C115,INDICADORES!$Z$13:$Z$53)</f>
        <v>1.0668474450563166E-2</v>
      </c>
      <c r="AC115" s="212">
        <f>AB115*'DADOS BASE'!$I$89</f>
        <v>885978.74937502504</v>
      </c>
      <c r="AD115" s="212"/>
      <c r="AE115" s="212">
        <f>SUM(AE116:AE149)</f>
        <v>44162</v>
      </c>
      <c r="AF115" s="212">
        <f>SUM(AF116:AF149)</f>
        <v>28755.539915649661</v>
      </c>
      <c r="AG115" s="212" t="s">
        <v>155</v>
      </c>
      <c r="AH115" s="210"/>
      <c r="AI115" s="211"/>
      <c r="AJ115" s="212"/>
      <c r="AK115" s="212"/>
      <c r="AL115" s="212"/>
      <c r="AM115" s="214">
        <f>SUM(AM116:AM149)</f>
        <v>5487274.192976336</v>
      </c>
      <c r="AN115" s="212"/>
      <c r="AO115" s="212"/>
      <c r="AP115" s="211"/>
      <c r="AQ115" s="212">
        <f>SUM(AQ116:AQ149)</f>
        <v>52856.727811309123</v>
      </c>
      <c r="AR115" s="212"/>
      <c r="AS115" s="214">
        <f>SUM(AS116:AS149)</f>
        <v>16870284.220572524</v>
      </c>
      <c r="AT115" s="211"/>
      <c r="AU115" s="212">
        <f t="shared" ref="AU115:BA115" si="80">SUM(AU116:AU149)</f>
        <v>444.19714711851299</v>
      </c>
      <c r="AV115" s="212">
        <f t="shared" si="80"/>
        <v>1238.75</v>
      </c>
      <c r="AW115" s="212">
        <f t="shared" si="80"/>
        <v>111.04928677962825</v>
      </c>
      <c r="AX115" s="212">
        <f t="shared" si="80"/>
        <v>19952.933213740016</v>
      </c>
      <c r="AY115" s="212">
        <f t="shared" si="80"/>
        <v>175.42810640175676</v>
      </c>
      <c r="AZ115" s="212">
        <f t="shared" si="80"/>
        <v>9.1749453084834336E-3</v>
      </c>
      <c r="BA115" s="212">
        <f t="shared" si="80"/>
        <v>67783.154287103083</v>
      </c>
      <c r="BB115" s="211"/>
      <c r="BC115" s="212">
        <f>SUM(BC116:BC149)</f>
        <v>170.5</v>
      </c>
      <c r="BD115" s="212">
        <f>SUM(BD116:BD149)</f>
        <v>921246.284133635</v>
      </c>
      <c r="BE115" s="187"/>
    </row>
    <row r="116" spans="2:57" x14ac:dyDescent="0.3">
      <c r="B116" s="216" t="s">
        <v>250</v>
      </c>
      <c r="C116" s="218" t="s">
        <v>156</v>
      </c>
      <c r="D116" s="218" t="s">
        <v>157</v>
      </c>
      <c r="E116" s="218"/>
      <c r="F116" s="217"/>
      <c r="G116" s="218"/>
      <c r="H116" s="219"/>
      <c r="I116" s="218"/>
      <c r="J116" s="219"/>
      <c r="K116" s="219"/>
      <c r="L116" s="219">
        <v>0</v>
      </c>
      <c r="M116" s="219">
        <v>0</v>
      </c>
      <c r="N116" s="219">
        <v>0</v>
      </c>
      <c r="O116" s="221"/>
      <c r="P116" s="219"/>
      <c r="Q116" s="219"/>
      <c r="R116" s="219"/>
      <c r="S116" s="219"/>
      <c r="T116" s="219"/>
      <c r="U116" s="219"/>
      <c r="V116" s="219"/>
      <c r="W116" s="221"/>
      <c r="X116" s="219"/>
      <c r="Y116" s="219"/>
      <c r="Z116" s="217"/>
      <c r="AA116" s="219"/>
      <c r="AB116" s="219"/>
      <c r="AC116" s="219"/>
      <c r="AD116" s="219"/>
      <c r="AE116" s="219"/>
      <c r="AF116" s="219"/>
      <c r="AG116" s="219" t="s">
        <v>155</v>
      </c>
      <c r="AH116" s="217"/>
      <c r="AI116" s="218"/>
      <c r="AJ116" s="219"/>
      <c r="AK116" s="219"/>
      <c r="AL116" s="219"/>
      <c r="AM116" s="221"/>
      <c r="AN116" s="219"/>
      <c r="AO116" s="219"/>
      <c r="AP116" s="218"/>
      <c r="AQ116" s="219"/>
      <c r="AR116" s="219"/>
      <c r="AS116" s="221"/>
      <c r="AT116" s="218"/>
      <c r="AU116" s="219"/>
      <c r="AV116" s="219"/>
      <c r="AW116" s="219"/>
      <c r="AX116" s="219"/>
      <c r="AY116" s="219"/>
      <c r="AZ116" s="219"/>
      <c r="BA116" s="219"/>
      <c r="BB116" s="218"/>
      <c r="BC116" s="219"/>
      <c r="BD116" s="219"/>
      <c r="BE116" s="187"/>
    </row>
    <row r="117" spans="2:57" x14ac:dyDescent="0.3">
      <c r="B117" s="184" t="s">
        <v>250</v>
      </c>
      <c r="C117" s="184" t="s">
        <v>252</v>
      </c>
      <c r="D117" s="184" t="s">
        <v>94</v>
      </c>
      <c r="E117" s="184">
        <v>2010</v>
      </c>
      <c r="F117" s="185"/>
      <c r="H117" s="186">
        <f ca="1">IF(AND(E117&gt;=2018,SUMIF('DADOS BASE'!$C$101:$D$104,D117,'DADOS BASE'!$H$101:$H$104)&gt;J117),
SUMIF('DADOS BASE'!$C$101:$D$104,D117,'DADOS BASE'!$H$101:$H$104),
J117)</f>
        <v>1531850.4335808628</v>
      </c>
      <c r="J117" s="186">
        <f t="shared" ref="J117:J149" si="81">N117+Q117+T117</f>
        <v>1531850.4335808628</v>
      </c>
      <c r="K117" s="186"/>
      <c r="L117" s="188">
        <v>1552.9148296671001</v>
      </c>
      <c r="M117" s="186">
        <f t="shared" ref="M117:M149" si="82">L117/$L$11</f>
        <v>1.211512182139845E-3</v>
      </c>
      <c r="N117" s="186">
        <f>L117*'DADOS BASE'!$I$29</f>
        <v>1529211.3407504533</v>
      </c>
      <c r="O117" s="187"/>
      <c r="P117" s="188">
        <v>0</v>
      </c>
      <c r="Q117" s="186">
        <f>P117*'DADOS BASE'!$I$33</f>
        <v>0</v>
      </c>
      <c r="R117" s="186"/>
      <c r="S117" s="188">
        <v>3.35</v>
      </c>
      <c r="T117" s="186">
        <f>S117*'DADOS BASE'!$I$37</f>
        <v>2639.0928304096165</v>
      </c>
      <c r="U117" s="186"/>
      <c r="V117" s="186">
        <f t="shared" ref="V117:V149" si="83">T117+Q117</f>
        <v>2639.0928304096165</v>
      </c>
      <c r="W117" s="187"/>
      <c r="X117" s="186"/>
      <c r="Y117" s="186"/>
      <c r="Z117" s="185"/>
      <c r="AA117" s="186"/>
      <c r="AB117" s="186"/>
      <c r="AC117" s="186"/>
      <c r="AD117" s="186"/>
      <c r="AE117" s="188">
        <v>1144</v>
      </c>
      <c r="AF117" s="188">
        <v>654.70506078405003</v>
      </c>
      <c r="AG117" s="186" t="s">
        <v>155</v>
      </c>
      <c r="AH117" s="189">
        <v>0.60099999999999998</v>
      </c>
      <c r="AI117" s="183">
        <f t="shared" ref="AI117:AI149" si="84">AF117*AH117</f>
        <v>393.47774153121406</v>
      </c>
      <c r="AJ117" s="186">
        <f t="shared" ref="AJ117:AJ149" si="85">(AH117-$AI$12)*$AJ$12</f>
        <v>-0.16364472907223004</v>
      </c>
      <c r="AK117" s="186"/>
      <c r="AL117" s="186">
        <f t="shared" ref="AL117:AL149" si="86">$AL$11-(AJ117*$AL$11)</f>
        <v>209.07946585711986</v>
      </c>
      <c r="AM117" s="187">
        <f t="shared" ref="AM117:AM149" si="87">AF117*AL117</f>
        <v>136885.38440268236</v>
      </c>
      <c r="AN117" s="186"/>
      <c r="AO117" s="188">
        <v>2.0404364569961002</v>
      </c>
      <c r="AQ117" s="186">
        <f t="shared" ref="AQ117:AQ149" si="88">AF117*AO117</f>
        <v>1335.8840746036235</v>
      </c>
      <c r="AR117" s="186">
        <f t="shared" ref="AR117:AR149" si="89">AQ117/$AQ$11</f>
        <v>1.4213668174427171E-3</v>
      </c>
      <c r="AS117" s="187">
        <f>AR117*'DADOS BASE'!W$38</f>
        <v>426374.18087537604</v>
      </c>
      <c r="AU117" s="188">
        <v>3.35</v>
      </c>
      <c r="AV117" s="188">
        <v>10.5</v>
      </c>
      <c r="AW117" s="186">
        <f t="shared" ref="AW117:AW149" si="90">AU117/4</f>
        <v>0.83750000000000002</v>
      </c>
      <c r="AX117" s="186">
        <f>IF($AW$11&gt;0,(AW117/$AW$11)*'DADOS BASE'!W$40,0)</f>
        <v>150.47896345042335</v>
      </c>
      <c r="AY117" s="186">
        <f t="shared" ref="AY117:AY149" si="91">AO117*AW117</f>
        <v>1.7088655327342339</v>
      </c>
      <c r="AZ117" s="186">
        <f t="shared" ref="AZ117:AZ149" si="92">IF($AY$11&gt;0,AY117/$AY$11,0)</f>
        <v>8.937420647112446E-5</v>
      </c>
      <c r="BA117" s="186">
        <f>AZ117*'DADOS BASE'!W$41</f>
        <v>660.28356822118224</v>
      </c>
      <c r="BC117" s="188">
        <v>0</v>
      </c>
      <c r="BD117" s="186">
        <f>IF($BC$11&gt;0,(BC117/$BC$11)*'DADOS BASE'!W$39,0)</f>
        <v>0</v>
      </c>
      <c r="BE117" s="187"/>
    </row>
    <row r="118" spans="2:57" x14ac:dyDescent="0.3">
      <c r="B118" s="223" t="s">
        <v>250</v>
      </c>
      <c r="C118" s="223" t="s">
        <v>253</v>
      </c>
      <c r="D118" s="223" t="s">
        <v>94</v>
      </c>
      <c r="E118" s="223">
        <v>2017</v>
      </c>
      <c r="F118" s="224"/>
      <c r="G118" s="225"/>
      <c r="H118" s="226">
        <f ca="1">IF(AND(E118&gt;=2018,SUMIF('DADOS BASE'!$C$101:$D$104,D118,'DADOS BASE'!$H$101:$H$104)&gt;J118),
SUMIF('DADOS BASE'!$C$101:$D$104,D118,'DADOS BASE'!$H$101:$H$104),
J118)</f>
        <v>620426.33175981953</v>
      </c>
      <c r="I118" s="225"/>
      <c r="J118" s="226">
        <f t="shared" si="81"/>
        <v>620426.33175981953</v>
      </c>
      <c r="K118" s="226"/>
      <c r="L118" s="227">
        <v>616.51256256609997</v>
      </c>
      <c r="M118" s="226">
        <f t="shared" si="82"/>
        <v>4.8097452978229324E-4</v>
      </c>
      <c r="N118" s="226">
        <f>L118*'DADOS BASE'!$I$29</f>
        <v>607102.19542002038</v>
      </c>
      <c r="O118" s="228"/>
      <c r="P118" s="227">
        <v>0</v>
      </c>
      <c r="Q118" s="226">
        <f>P118*'DADOS BASE'!$I$33</f>
        <v>0</v>
      </c>
      <c r="R118" s="226"/>
      <c r="S118" s="227">
        <v>16.913333333333</v>
      </c>
      <c r="T118" s="226">
        <f>S118*'DADOS BASE'!$I$37</f>
        <v>13324.136339799135</v>
      </c>
      <c r="U118" s="226"/>
      <c r="V118" s="226">
        <f t="shared" si="83"/>
        <v>13324.136339799135</v>
      </c>
      <c r="W118" s="228"/>
      <c r="X118" s="226"/>
      <c r="Y118" s="226"/>
      <c r="Z118" s="224"/>
      <c r="AA118" s="226"/>
      <c r="AB118" s="226"/>
      <c r="AC118" s="226"/>
      <c r="AD118" s="226"/>
      <c r="AE118" s="227">
        <v>491</v>
      </c>
      <c r="AF118" s="227">
        <v>305.64251945468999</v>
      </c>
      <c r="AG118" s="226" t="s">
        <v>155</v>
      </c>
      <c r="AH118" s="229">
        <v>0.59499999999999997</v>
      </c>
      <c r="AI118" s="225">
        <f t="shared" si="84"/>
        <v>181.85729907554054</v>
      </c>
      <c r="AJ118" s="226">
        <f t="shared" si="85"/>
        <v>-0.17173749345070885</v>
      </c>
      <c r="AK118" s="226"/>
      <c r="AL118" s="226">
        <f t="shared" si="86"/>
        <v>210.53354441845957</v>
      </c>
      <c r="AM118" s="228">
        <f t="shared" si="87"/>
        <v>64348.002945783868</v>
      </c>
      <c r="AN118" s="226"/>
      <c r="AO118" s="227">
        <v>1.8093681917211</v>
      </c>
      <c r="AP118" s="225"/>
      <c r="AQ118" s="226">
        <f t="shared" si="88"/>
        <v>553.0198527388136</v>
      </c>
      <c r="AR118" s="226">
        <f t="shared" si="89"/>
        <v>5.8840739478329242E-4</v>
      </c>
      <c r="AS118" s="228">
        <f>AR118*'DADOS BASE'!W$38</f>
        <v>176507.37156163502</v>
      </c>
      <c r="AT118" s="225"/>
      <c r="AU118" s="227">
        <v>16.913333333333</v>
      </c>
      <c r="AV118" s="227">
        <v>31.25</v>
      </c>
      <c r="AW118" s="226">
        <f t="shared" si="90"/>
        <v>4.22833333333325</v>
      </c>
      <c r="AX118" s="226">
        <f>IF($AW$11&gt;0,(AW118/$AW$11)*'DADOS BASE'!W$40,0)</f>
        <v>759.73160253475919</v>
      </c>
      <c r="AY118" s="226">
        <f t="shared" si="91"/>
        <v>7.6506118373272338</v>
      </c>
      <c r="AZ118" s="226">
        <f t="shared" si="92"/>
        <v>4.0012941269033947E-4</v>
      </c>
      <c r="BA118" s="226">
        <f>AZ118*'DADOS BASE'!W$41</f>
        <v>2956.0975900444191</v>
      </c>
      <c r="BB118" s="225"/>
      <c r="BC118" s="227">
        <v>0</v>
      </c>
      <c r="BD118" s="226">
        <f>IF($BC$11&gt;0,(BC118/$BC$11)*'DADOS BASE'!W$39,0)</f>
        <v>0</v>
      </c>
      <c r="BE118" s="187"/>
    </row>
    <row r="119" spans="2:57" x14ac:dyDescent="0.3">
      <c r="B119" s="184" t="s">
        <v>250</v>
      </c>
      <c r="C119" s="184" t="s">
        <v>254</v>
      </c>
      <c r="D119" s="184" t="s">
        <v>94</v>
      </c>
      <c r="E119" s="184">
        <v>2010</v>
      </c>
      <c r="F119" s="185"/>
      <c r="H119" s="186">
        <f ca="1">IF(AND(E119&gt;=2018,SUMIF('DADOS BASE'!$C$101:$D$104,D119,'DADOS BASE'!$H$101:$H$104)&gt;J119),
SUMIF('DADOS BASE'!$C$101:$D$104,D119,'DADOS BASE'!$H$101:$H$104),
J119)</f>
        <v>1739534.3691840339</v>
      </c>
      <c r="J119" s="186">
        <f t="shared" si="81"/>
        <v>1739534.3691840339</v>
      </c>
      <c r="K119" s="186"/>
      <c r="L119" s="188">
        <v>1757.8379631237999</v>
      </c>
      <c r="M119" s="186">
        <f t="shared" si="82"/>
        <v>1.3713837139470865E-3</v>
      </c>
      <c r="N119" s="186">
        <f>L119*'DADOS BASE'!$I$29</f>
        <v>1731006.5542917403</v>
      </c>
      <c r="O119" s="187"/>
      <c r="P119" s="188">
        <v>0</v>
      </c>
      <c r="Q119" s="186">
        <f>P119*'DADOS BASE'!$I$33</f>
        <v>0</v>
      </c>
      <c r="R119" s="186"/>
      <c r="S119" s="188">
        <v>10.824999999999999</v>
      </c>
      <c r="T119" s="186">
        <f>S119*'DADOS BASE'!$I$37</f>
        <v>8527.8148922937598</v>
      </c>
      <c r="U119" s="186"/>
      <c r="V119" s="186">
        <f t="shared" si="83"/>
        <v>8527.8148922937598</v>
      </c>
      <c r="W119" s="187"/>
      <c r="X119" s="186"/>
      <c r="Y119" s="186"/>
      <c r="Z119" s="185"/>
      <c r="AA119" s="186"/>
      <c r="AB119" s="186"/>
      <c r="AC119" s="186"/>
      <c r="AD119" s="186"/>
      <c r="AE119" s="188">
        <v>1176</v>
      </c>
      <c r="AF119" s="188">
        <v>787.16010072224003</v>
      </c>
      <c r="AG119" s="186" t="s">
        <v>155</v>
      </c>
      <c r="AH119" s="189">
        <v>0.65500000000000003</v>
      </c>
      <c r="AI119" s="183">
        <f t="shared" si="84"/>
        <v>515.58986597306728</v>
      </c>
      <c r="AJ119" s="186">
        <f t="shared" si="85"/>
        <v>-9.0809849665920775E-2</v>
      </c>
      <c r="AK119" s="186"/>
      <c r="AL119" s="186">
        <f t="shared" si="86"/>
        <v>195.99275880506255</v>
      </c>
      <c r="AM119" s="187">
        <f t="shared" si="87"/>
        <v>154277.67976182274</v>
      </c>
      <c r="AN119" s="186"/>
      <c r="AO119" s="188">
        <v>2.0935960591132998</v>
      </c>
      <c r="AQ119" s="186">
        <f t="shared" si="88"/>
        <v>1647.9952847633099</v>
      </c>
      <c r="AR119" s="186">
        <f t="shared" si="89"/>
        <v>1.7534499120065163E-3</v>
      </c>
      <c r="AS119" s="187">
        <f>AR119*'DADOS BASE'!W$38</f>
        <v>525990.73002343311</v>
      </c>
      <c r="AU119" s="188">
        <v>10.824999999999999</v>
      </c>
      <c r="AV119" s="188">
        <v>30</v>
      </c>
      <c r="AW119" s="186">
        <f t="shared" si="90"/>
        <v>2.7062499999999998</v>
      </c>
      <c r="AX119" s="186">
        <f>IF($AW$11&gt;0,(AW119/$AW$11)*'DADOS BASE'!W$40,0)</f>
        <v>486.24918786592013</v>
      </c>
      <c r="AY119" s="186">
        <f t="shared" si="91"/>
        <v>5.6657943349753674</v>
      </c>
      <c r="AZ119" s="186">
        <f t="shared" si="92"/>
        <v>2.9632283115149492E-4</v>
      </c>
      <c r="BA119" s="186">
        <f>AZ119*'DADOS BASE'!W$41</f>
        <v>2189.1897452686867</v>
      </c>
      <c r="BC119" s="188">
        <v>0</v>
      </c>
      <c r="BD119" s="186">
        <f>IF($BC$11&gt;0,(BC119/$BC$11)*'DADOS BASE'!W$39,0)</f>
        <v>0</v>
      </c>
      <c r="BE119" s="187"/>
    </row>
    <row r="120" spans="2:57" x14ac:dyDescent="0.3">
      <c r="B120" s="223" t="s">
        <v>250</v>
      </c>
      <c r="C120" s="223" t="s">
        <v>255</v>
      </c>
      <c r="D120" s="223" t="s">
        <v>96</v>
      </c>
      <c r="E120" s="223">
        <v>2014</v>
      </c>
      <c r="F120" s="224"/>
      <c r="G120" s="225"/>
      <c r="H120" s="226">
        <f ca="1">IF(AND(E120&gt;=2018,SUMIF('DADOS BASE'!$C$101:$D$104,D120,'DADOS BASE'!$H$101:$H$104)&gt;J120),
SUMIF('DADOS BASE'!$C$101:$D$104,D120,'DADOS BASE'!$H$101:$H$104),
J120)</f>
        <v>152868.96422941043</v>
      </c>
      <c r="I120" s="225"/>
      <c r="J120" s="226">
        <f t="shared" si="81"/>
        <v>152868.96422941043</v>
      </c>
      <c r="K120" s="226"/>
      <c r="L120" s="227">
        <v>86.607035932670001</v>
      </c>
      <c r="M120" s="226">
        <f t="shared" si="82"/>
        <v>6.7566795735955436E-5</v>
      </c>
      <c r="N120" s="226">
        <f>L120*'DADOS BASE'!$I$29</f>
        <v>85285.077460051281</v>
      </c>
      <c r="O120" s="228"/>
      <c r="P120" s="227">
        <v>0</v>
      </c>
      <c r="Q120" s="226">
        <f>P120*'DADOS BASE'!$I$33</f>
        <v>0</v>
      </c>
      <c r="R120" s="226"/>
      <c r="S120" s="227">
        <v>85.789335664335994</v>
      </c>
      <c r="T120" s="226">
        <f>S120*'DADOS BASE'!$I$37</f>
        <v>67583.886769359146</v>
      </c>
      <c r="U120" s="226"/>
      <c r="V120" s="226">
        <f t="shared" si="83"/>
        <v>67583.886769359146</v>
      </c>
      <c r="W120" s="228"/>
      <c r="X120" s="226"/>
      <c r="Y120" s="226"/>
      <c r="Z120" s="224"/>
      <c r="AA120" s="226"/>
      <c r="AB120" s="226"/>
      <c r="AC120" s="226"/>
      <c r="AD120" s="226"/>
      <c r="AE120" s="227">
        <v>115</v>
      </c>
      <c r="AF120" s="227">
        <v>47.097896664559997</v>
      </c>
      <c r="AG120" s="226" t="s">
        <v>155</v>
      </c>
      <c r="AH120" s="229">
        <v>0.63700000000000001</v>
      </c>
      <c r="AI120" s="225">
        <f t="shared" si="84"/>
        <v>30.00136017532472</v>
      </c>
      <c r="AJ120" s="226">
        <f t="shared" si="85"/>
        <v>-0.11508814280135721</v>
      </c>
      <c r="AK120" s="226"/>
      <c r="AL120" s="226">
        <f t="shared" si="86"/>
        <v>200.35499448908166</v>
      </c>
      <c r="AM120" s="228">
        <f t="shared" si="87"/>
        <v>9436.2988266752564</v>
      </c>
      <c r="AN120" s="226"/>
      <c r="AO120" s="227">
        <v>1.6355181576616</v>
      </c>
      <c r="AP120" s="225"/>
      <c r="AQ120" s="226">
        <f t="shared" si="88"/>
        <v>77.029465182557587</v>
      </c>
      <c r="AR120" s="226">
        <f t="shared" si="89"/>
        <v>8.1958553034126784E-5</v>
      </c>
      <c r="AS120" s="228">
        <f>AR120*'DADOS BASE'!W$38</f>
        <v>24585.497907238994</v>
      </c>
      <c r="AT120" s="225"/>
      <c r="AU120" s="227">
        <v>85.789335664335994</v>
      </c>
      <c r="AV120" s="227">
        <v>148.25</v>
      </c>
      <c r="AW120" s="226">
        <f t="shared" si="90"/>
        <v>21.447333916083998</v>
      </c>
      <c r="AX120" s="226">
        <f>IF($AW$11&gt;0,(AW120/$AW$11)*'DADOS BASE'!W$40,0)</f>
        <v>3853.5791957820047</v>
      </c>
      <c r="AY120" s="226">
        <f t="shared" si="91"/>
        <v>35.07750405318685</v>
      </c>
      <c r="AZ120" s="226">
        <f t="shared" si="92"/>
        <v>1.8345645281551781E-3</v>
      </c>
      <c r="BA120" s="226">
        <f>AZ120*'DADOS BASE'!W$41</f>
        <v>13553.494465695481</v>
      </c>
      <c r="BB120" s="225"/>
      <c r="BC120" s="227">
        <v>0</v>
      </c>
      <c r="BD120" s="226">
        <f>IF($BC$11&gt;0,(BC120/$BC$11)*'DADOS BASE'!W$39,0)</f>
        <v>0</v>
      </c>
      <c r="BE120" s="187"/>
    </row>
    <row r="121" spans="2:57" x14ac:dyDescent="0.3">
      <c r="B121" s="184" t="s">
        <v>250</v>
      </c>
      <c r="C121" s="184" t="s">
        <v>256</v>
      </c>
      <c r="D121" s="184" t="s">
        <v>96</v>
      </c>
      <c r="E121" s="184">
        <v>2014</v>
      </c>
      <c r="F121" s="185"/>
      <c r="H121" s="186">
        <f ca="1">IF(AND(E121&gt;=2018,SUMIF('DADOS BASE'!$C$101:$D$104,D121,'DADOS BASE'!$H$101:$H$104)&gt;J121),
SUMIF('DADOS BASE'!$C$101:$D$104,D121,'DADOS BASE'!$H$101:$H$104),
J121)</f>
        <v>163674.47761412547</v>
      </c>
      <c r="J121" s="186">
        <f t="shared" si="81"/>
        <v>163674.47761412547</v>
      </c>
      <c r="K121" s="186"/>
      <c r="L121" s="188">
        <v>140.39312996699999</v>
      </c>
      <c r="M121" s="186">
        <f t="shared" si="82"/>
        <v>1.095282136498271E-4</v>
      </c>
      <c r="N121" s="186">
        <f>L121*'DADOS BASE'!$I$29</f>
        <v>138250.18758756536</v>
      </c>
      <c r="O121" s="187"/>
      <c r="P121" s="188">
        <v>0</v>
      </c>
      <c r="Q121" s="186">
        <f>P121*'DADOS BASE'!$I$33</f>
        <v>0</v>
      </c>
      <c r="R121" s="186"/>
      <c r="S121" s="188">
        <v>32.272972972973001</v>
      </c>
      <c r="T121" s="186">
        <f>S121*'DADOS BASE'!$I$37</f>
        <v>25424.290026560113</v>
      </c>
      <c r="U121" s="186"/>
      <c r="V121" s="186">
        <f t="shared" si="83"/>
        <v>25424.290026560113</v>
      </c>
      <c r="W121" s="187"/>
      <c r="X121" s="186"/>
      <c r="Y121" s="186"/>
      <c r="Z121" s="185"/>
      <c r="AA121" s="186"/>
      <c r="AB121" s="186"/>
      <c r="AC121" s="186"/>
      <c r="AD121" s="186"/>
      <c r="AE121" s="188">
        <v>183</v>
      </c>
      <c r="AF121" s="188">
        <v>93.595419978001004</v>
      </c>
      <c r="AG121" s="186" t="s">
        <v>155</v>
      </c>
      <c r="AH121" s="189">
        <v>0.624</v>
      </c>
      <c r="AI121" s="183">
        <f t="shared" si="84"/>
        <v>58.403542066272628</v>
      </c>
      <c r="AJ121" s="186">
        <f t="shared" si="85"/>
        <v>-0.13262246562139463</v>
      </c>
      <c r="AK121" s="186"/>
      <c r="AL121" s="186">
        <f t="shared" si="86"/>
        <v>203.50549803865101</v>
      </c>
      <c r="AM121" s="187">
        <f t="shared" si="87"/>
        <v>19047.182556759803</v>
      </c>
      <c r="AN121" s="186"/>
      <c r="AO121" s="188">
        <v>0</v>
      </c>
      <c r="AQ121" s="186">
        <f t="shared" si="88"/>
        <v>0</v>
      </c>
      <c r="AR121" s="186">
        <f t="shared" si="89"/>
        <v>0</v>
      </c>
      <c r="AS121" s="187">
        <f>AR121*'DADOS BASE'!W$38</f>
        <v>0</v>
      </c>
      <c r="AU121" s="188">
        <v>32.272972972973001</v>
      </c>
      <c r="AV121" s="188">
        <v>102.75</v>
      </c>
      <c r="AW121" s="186">
        <f t="shared" si="90"/>
        <v>8.0682432432432503</v>
      </c>
      <c r="AX121" s="186">
        <f>IF($AW$11&gt;0,(AW121/$AW$11)*'DADOS BASE'!W$40,0)</f>
        <v>1449.6726926676133</v>
      </c>
      <c r="AY121" s="186">
        <f t="shared" si="91"/>
        <v>0</v>
      </c>
      <c r="AZ121" s="186">
        <f t="shared" si="92"/>
        <v>0</v>
      </c>
      <c r="BA121" s="186">
        <f>AZ121*'DADOS BASE'!W$41</f>
        <v>0</v>
      </c>
      <c r="BC121" s="188">
        <v>0</v>
      </c>
      <c r="BD121" s="186">
        <f>IF($BC$11&gt;0,(BC121/$BC$11)*'DADOS BASE'!W$39,0)</f>
        <v>0</v>
      </c>
      <c r="BE121" s="187"/>
    </row>
    <row r="122" spans="2:57" x14ac:dyDescent="0.3">
      <c r="B122" s="223" t="s">
        <v>250</v>
      </c>
      <c r="C122" s="223" t="s">
        <v>257</v>
      </c>
      <c r="D122" s="223" t="s">
        <v>96</v>
      </c>
      <c r="E122" s="223">
        <v>2018</v>
      </c>
      <c r="F122" s="224"/>
      <c r="G122" s="225"/>
      <c r="H122" s="226">
        <f ca="1">IF(AND(E122&gt;=2018,SUMIF('DADOS BASE'!$C$101:$D$104,D122,'DADOS BASE'!$H$101:$H$104)&gt;J122),
SUMIF('DADOS BASE'!$C$101:$D$104,D122,'DADOS BASE'!$H$101:$H$104),
J122)</f>
        <v>700000</v>
      </c>
      <c r="I122" s="225"/>
      <c r="J122" s="226">
        <f t="shared" si="81"/>
        <v>4608.5650919093305</v>
      </c>
      <c r="K122" s="226"/>
      <c r="L122" s="227">
        <v>0</v>
      </c>
      <c r="M122" s="226">
        <f t="shared" si="82"/>
        <v>0</v>
      </c>
      <c r="N122" s="226">
        <f>L122*'DADOS BASE'!$I$29</f>
        <v>0</v>
      </c>
      <c r="O122" s="228"/>
      <c r="P122" s="227">
        <v>0</v>
      </c>
      <c r="Q122" s="226">
        <f>P122*'DADOS BASE'!$I$33</f>
        <v>0</v>
      </c>
      <c r="R122" s="226"/>
      <c r="S122" s="227">
        <v>5.85</v>
      </c>
      <c r="T122" s="226">
        <f>S122*'DADOS BASE'!$I$37</f>
        <v>4608.5650919093305</v>
      </c>
      <c r="U122" s="226"/>
      <c r="V122" s="226">
        <f t="shared" si="83"/>
        <v>4608.5650919093305</v>
      </c>
      <c r="W122" s="228"/>
      <c r="X122" s="226"/>
      <c r="Y122" s="226"/>
      <c r="Z122" s="224"/>
      <c r="AA122" s="226"/>
      <c r="AB122" s="226"/>
      <c r="AC122" s="226"/>
      <c r="AD122" s="226"/>
      <c r="AE122" s="227">
        <v>0</v>
      </c>
      <c r="AF122" s="227">
        <v>0</v>
      </c>
      <c r="AG122" s="226" t="s">
        <v>155</v>
      </c>
      <c r="AH122" s="229">
        <v>0.58199999999999996</v>
      </c>
      <c r="AI122" s="225">
        <f t="shared" si="84"/>
        <v>0</v>
      </c>
      <c r="AJ122" s="226">
        <f t="shared" si="85"/>
        <v>-0.18927181627074627</v>
      </c>
      <c r="AK122" s="226"/>
      <c r="AL122" s="226">
        <f t="shared" si="86"/>
        <v>213.68404796802892</v>
      </c>
      <c r="AM122" s="228">
        <f t="shared" si="87"/>
        <v>0</v>
      </c>
      <c r="AN122" s="226"/>
      <c r="AO122" s="227">
        <v>1.1923076923077001</v>
      </c>
      <c r="AP122" s="225"/>
      <c r="AQ122" s="226">
        <f t="shared" si="88"/>
        <v>0</v>
      </c>
      <c r="AR122" s="226">
        <f t="shared" si="89"/>
        <v>0</v>
      </c>
      <c r="AS122" s="228">
        <f>AR122*'DADOS BASE'!W$38</f>
        <v>0</v>
      </c>
      <c r="AT122" s="225"/>
      <c r="AU122" s="227">
        <v>5.85</v>
      </c>
      <c r="AV122" s="227">
        <v>9.75</v>
      </c>
      <c r="AW122" s="226">
        <f t="shared" si="90"/>
        <v>1.4624999999999999</v>
      </c>
      <c r="AX122" s="226">
        <f>IF($AW$11&gt;0,(AW122/$AW$11)*'DADOS BASE'!W$40,0)</f>
        <v>262.77669736864971</v>
      </c>
      <c r="AY122" s="226">
        <f t="shared" si="91"/>
        <v>1.7437500000000112</v>
      </c>
      <c r="AZ122" s="226">
        <f t="shared" si="92"/>
        <v>9.1198675114399311E-5</v>
      </c>
      <c r="BA122" s="226">
        <f>AZ122*'DADOS BASE'!W$41</f>
        <v>673.76247576570279</v>
      </c>
      <c r="BB122" s="225"/>
      <c r="BC122" s="227">
        <v>0</v>
      </c>
      <c r="BD122" s="226">
        <f>IF($BC$11&gt;0,(BC122/$BC$11)*'DADOS BASE'!W$39,0)</f>
        <v>0</v>
      </c>
      <c r="BE122" s="187"/>
    </row>
    <row r="123" spans="2:57" x14ac:dyDescent="0.3">
      <c r="B123" s="184" t="s">
        <v>250</v>
      </c>
      <c r="C123" s="184" t="s">
        <v>258</v>
      </c>
      <c r="D123" s="184" t="s">
        <v>94</v>
      </c>
      <c r="E123" s="184">
        <v>2013</v>
      </c>
      <c r="F123" s="185"/>
      <c r="H123" s="186">
        <f ca="1">IF(AND(E123&gt;=2018,SUMIF('DADOS BASE'!$C$101:$D$104,D123,'DADOS BASE'!$H$101:$H$104)&gt;J123),
SUMIF('DADOS BASE'!$C$101:$D$104,D123,'DADOS BASE'!$H$101:$H$104),
J123)</f>
        <v>1285102.0687700815</v>
      </c>
      <c r="J123" s="186">
        <f t="shared" si="81"/>
        <v>1285102.0687700815</v>
      </c>
      <c r="K123" s="186"/>
      <c r="L123" s="188">
        <v>1305.0217501326999</v>
      </c>
      <c r="M123" s="186">
        <f t="shared" si="82"/>
        <v>1.0181174897931512E-3</v>
      </c>
      <c r="N123" s="186">
        <f>L123*'DADOS BASE'!$I$29</f>
        <v>1285102.0687700815</v>
      </c>
      <c r="O123" s="187"/>
      <c r="P123" s="188">
        <v>0</v>
      </c>
      <c r="Q123" s="186">
        <f>P123*'DADOS BASE'!$I$33</f>
        <v>0</v>
      </c>
      <c r="R123" s="186"/>
      <c r="S123" s="188">
        <v>0</v>
      </c>
      <c r="T123" s="186">
        <f>S123*'DADOS BASE'!$I$37</f>
        <v>0</v>
      </c>
      <c r="U123" s="186"/>
      <c r="V123" s="186">
        <f t="shared" si="83"/>
        <v>0</v>
      </c>
      <c r="W123" s="187"/>
      <c r="X123" s="186"/>
      <c r="Y123" s="186"/>
      <c r="Z123" s="185"/>
      <c r="AA123" s="186"/>
      <c r="AB123" s="186"/>
      <c r="AC123" s="186"/>
      <c r="AD123" s="186"/>
      <c r="AE123" s="188">
        <v>1057</v>
      </c>
      <c r="AF123" s="188">
        <v>628.43446949854001</v>
      </c>
      <c r="AG123" s="186" t="s">
        <v>155</v>
      </c>
      <c r="AH123" s="189">
        <v>0.61899999999999999</v>
      </c>
      <c r="AI123" s="183">
        <f t="shared" si="84"/>
        <v>389.00093661959625</v>
      </c>
      <c r="AJ123" s="186">
        <f t="shared" si="85"/>
        <v>-0.13936643593679363</v>
      </c>
      <c r="AK123" s="186"/>
      <c r="AL123" s="186">
        <f t="shared" si="86"/>
        <v>204.71723017310075</v>
      </c>
      <c r="AM123" s="187">
        <f t="shared" si="87"/>
        <v>128651.36394104308</v>
      </c>
      <c r="AN123" s="186"/>
      <c r="AO123" s="188">
        <v>2.1446051167964</v>
      </c>
      <c r="AQ123" s="186">
        <f t="shared" si="88"/>
        <v>1347.7437788578</v>
      </c>
      <c r="AR123" s="186">
        <f t="shared" si="89"/>
        <v>1.4339854199188133E-3</v>
      </c>
      <c r="AS123" s="187">
        <f>AR123*'DADOS BASE'!W$38</f>
        <v>430159.44322181062</v>
      </c>
      <c r="AU123" s="188">
        <v>0</v>
      </c>
      <c r="AV123" s="188">
        <v>0</v>
      </c>
      <c r="AW123" s="186">
        <f t="shared" si="90"/>
        <v>0</v>
      </c>
      <c r="AX123" s="186">
        <f>IF($AW$11&gt;0,(AW123/$AW$11)*'DADOS BASE'!W$40,0)</f>
        <v>0</v>
      </c>
      <c r="AY123" s="186">
        <f t="shared" si="91"/>
        <v>0</v>
      </c>
      <c r="AZ123" s="186">
        <f t="shared" si="92"/>
        <v>0</v>
      </c>
      <c r="BA123" s="186">
        <f>AZ123*'DADOS BASE'!W$41</f>
        <v>0</v>
      </c>
      <c r="BC123" s="188">
        <v>0</v>
      </c>
      <c r="BD123" s="186">
        <f>IF($BC$11&gt;0,(BC123/$BC$11)*'DADOS BASE'!W$39,0)</f>
        <v>0</v>
      </c>
      <c r="BE123" s="187"/>
    </row>
    <row r="124" spans="2:57" x14ac:dyDescent="0.3">
      <c r="B124" s="223" t="s">
        <v>250</v>
      </c>
      <c r="C124" s="223" t="s">
        <v>259</v>
      </c>
      <c r="D124" s="223" t="s">
        <v>94</v>
      </c>
      <c r="E124" s="223">
        <v>2016</v>
      </c>
      <c r="F124" s="224"/>
      <c r="G124" s="225"/>
      <c r="H124" s="226">
        <f ca="1">IF(AND(E124&gt;=2018,SUMIF('DADOS BASE'!$C$101:$D$104,D124,'DADOS BASE'!$H$101:$H$104)&gt;J124),
SUMIF('DADOS BASE'!$C$101:$D$104,D124,'DADOS BASE'!$H$101:$H$104),
J124)</f>
        <v>780030.32676662714</v>
      </c>
      <c r="I124" s="225"/>
      <c r="J124" s="226">
        <f t="shared" si="81"/>
        <v>780030.32676662714</v>
      </c>
      <c r="K124" s="226"/>
      <c r="L124" s="227">
        <v>784.97885289987005</v>
      </c>
      <c r="M124" s="226">
        <f t="shared" si="82"/>
        <v>6.1240412213348701E-4</v>
      </c>
      <c r="N124" s="226">
        <f>L124*'DADOS BASE'!$I$29</f>
        <v>772997.03832507913</v>
      </c>
      <c r="O124" s="228"/>
      <c r="P124" s="227">
        <v>0</v>
      </c>
      <c r="Q124" s="226">
        <f>P124*'DADOS BASE'!$I$33</f>
        <v>0</v>
      </c>
      <c r="R124" s="226"/>
      <c r="S124" s="227">
        <v>8.9278846153846008</v>
      </c>
      <c r="T124" s="226">
        <f>S124*'DADOS BASE'!$I$37</f>
        <v>7033.2884415480048</v>
      </c>
      <c r="U124" s="226"/>
      <c r="V124" s="226">
        <f t="shared" si="83"/>
        <v>7033.2884415480048</v>
      </c>
      <c r="W124" s="228"/>
      <c r="X124" s="226"/>
      <c r="Y124" s="226"/>
      <c r="Z124" s="224"/>
      <c r="AA124" s="226"/>
      <c r="AB124" s="226"/>
      <c r="AC124" s="226"/>
      <c r="AD124" s="226"/>
      <c r="AE124" s="227">
        <v>560</v>
      </c>
      <c r="AF124" s="227">
        <v>348.93534808728998</v>
      </c>
      <c r="AG124" s="226" t="s">
        <v>155</v>
      </c>
      <c r="AH124" s="229">
        <v>0.59799999999999998</v>
      </c>
      <c r="AI124" s="225">
        <f t="shared" si="84"/>
        <v>208.66333815619939</v>
      </c>
      <c r="AJ124" s="226">
        <f t="shared" si="85"/>
        <v>-0.16769111126146946</v>
      </c>
      <c r="AK124" s="226"/>
      <c r="AL124" s="226">
        <f t="shared" si="86"/>
        <v>209.80650513778971</v>
      </c>
      <c r="AM124" s="228">
        <f t="shared" si="87"/>
        <v>73208.905901232443</v>
      </c>
      <c r="AN124" s="226"/>
      <c r="AO124" s="227">
        <v>1.7678571428570999</v>
      </c>
      <c r="AP124" s="225"/>
      <c r="AQ124" s="226">
        <f t="shared" si="88"/>
        <v>616.8678475114441</v>
      </c>
      <c r="AR124" s="226">
        <f t="shared" si="89"/>
        <v>6.5634099984329761E-4</v>
      </c>
      <c r="AS124" s="228">
        <f>AR124*'DADOS BASE'!W$38</f>
        <v>196885.73895836677</v>
      </c>
      <c r="AT124" s="225"/>
      <c r="AU124" s="227">
        <v>8.9278846153846008</v>
      </c>
      <c r="AV124" s="227">
        <v>32</v>
      </c>
      <c r="AW124" s="226">
        <f t="shared" si="90"/>
        <v>2.2319711538461502</v>
      </c>
      <c r="AX124" s="226">
        <f>IF($AW$11&gt;0,(AW124/$AW$11)*'DADOS BASE'!W$40,0)</f>
        <v>401.03248439643465</v>
      </c>
      <c r="AY124" s="226">
        <f t="shared" si="91"/>
        <v>3.9458061469779198</v>
      </c>
      <c r="AZ124" s="226">
        <f t="shared" si="92"/>
        <v>2.0636690630115365E-4</v>
      </c>
      <c r="BA124" s="226">
        <f>AZ124*'DADOS BASE'!W$41</f>
        <v>1524.6085267265116</v>
      </c>
      <c r="BB124" s="225"/>
      <c r="BC124" s="227">
        <v>0</v>
      </c>
      <c r="BD124" s="226">
        <f>IF($BC$11&gt;0,(BC124/$BC$11)*'DADOS BASE'!W$39,0)</f>
        <v>0</v>
      </c>
      <c r="BE124" s="187"/>
    </row>
    <row r="125" spans="2:57" x14ac:dyDescent="0.3">
      <c r="B125" s="184" t="s">
        <v>250</v>
      </c>
      <c r="C125" s="184" t="s">
        <v>260</v>
      </c>
      <c r="D125" s="184" t="s">
        <v>94</v>
      </c>
      <c r="E125" s="184">
        <v>2013</v>
      </c>
      <c r="F125" s="185"/>
      <c r="H125" s="186">
        <f ca="1">IF(AND(E125&gt;=2018,SUMIF('DADOS BASE'!$C$101:$D$104,D125,'DADOS BASE'!$H$101:$H$104)&gt;J125),
SUMIF('DADOS BASE'!$C$101:$D$104,D125,'DADOS BASE'!$H$101:$H$104),
J125)</f>
        <v>1173374.4823726448</v>
      </c>
      <c r="J125" s="186">
        <f t="shared" si="81"/>
        <v>1173374.4823726448</v>
      </c>
      <c r="K125" s="186"/>
      <c r="L125" s="188">
        <v>1183.3708150104001</v>
      </c>
      <c r="M125" s="186">
        <f t="shared" si="82"/>
        <v>9.2321106797672435E-4</v>
      </c>
      <c r="N125" s="186">
        <f>L125*'DADOS BASE'!$I$29</f>
        <v>1165307.9976156461</v>
      </c>
      <c r="O125" s="187"/>
      <c r="P125" s="188">
        <v>0</v>
      </c>
      <c r="Q125" s="186">
        <f>P125*'DADOS BASE'!$I$33</f>
        <v>0</v>
      </c>
      <c r="R125" s="186"/>
      <c r="S125" s="188">
        <v>10.239398790588</v>
      </c>
      <c r="T125" s="186">
        <f>S125*'DADOS BASE'!$I$37</f>
        <v>8066.4847569987132</v>
      </c>
      <c r="U125" s="186"/>
      <c r="V125" s="186">
        <f t="shared" si="83"/>
        <v>8066.4847569987132</v>
      </c>
      <c r="W125" s="187"/>
      <c r="X125" s="186"/>
      <c r="Y125" s="186"/>
      <c r="Z125" s="185"/>
      <c r="AA125" s="186"/>
      <c r="AB125" s="186"/>
      <c r="AC125" s="186"/>
      <c r="AD125" s="186"/>
      <c r="AE125" s="188">
        <v>877</v>
      </c>
      <c r="AF125" s="188">
        <v>553.49185490368995</v>
      </c>
      <c r="AG125" s="186" t="s">
        <v>155</v>
      </c>
      <c r="AH125" s="189">
        <v>0.62</v>
      </c>
      <c r="AI125" s="183">
        <f t="shared" si="84"/>
        <v>343.16495004028775</v>
      </c>
      <c r="AJ125" s="186">
        <f t="shared" si="85"/>
        <v>-0.13801764187371382</v>
      </c>
      <c r="AK125" s="186"/>
      <c r="AL125" s="186">
        <f t="shared" si="86"/>
        <v>204.47488374621082</v>
      </c>
      <c r="AM125" s="187">
        <f t="shared" si="87"/>
        <v>113175.18268590659</v>
      </c>
      <c r="AN125" s="186"/>
      <c r="AO125" s="188">
        <v>1.6531954887218001</v>
      </c>
      <c r="AQ125" s="186">
        <f t="shared" si="88"/>
        <v>915.03023757104143</v>
      </c>
      <c r="AR125" s="186">
        <f t="shared" si="89"/>
        <v>9.735826943113382E-4</v>
      </c>
      <c r="AS125" s="187">
        <f>AR125*'DADOS BASE'!W$38</f>
        <v>292050.24256039236</v>
      </c>
      <c r="AU125" s="188">
        <v>10.239398790588</v>
      </c>
      <c r="AV125" s="188">
        <v>42.25</v>
      </c>
      <c r="AW125" s="186">
        <f t="shared" si="90"/>
        <v>2.559849697647</v>
      </c>
      <c r="AX125" s="186">
        <f>IF($AW$11&gt;0,(AW125/$AW$11)*'DADOS BASE'!W$40,0)</f>
        <v>459.94451234722408</v>
      </c>
      <c r="AY125" s="186">
        <f t="shared" si="91"/>
        <v>4.2319319719558841</v>
      </c>
      <c r="AZ125" s="186">
        <f t="shared" si="92"/>
        <v>2.2133137721384451E-4</v>
      </c>
      <c r="BA125" s="186">
        <f>AZ125*'DADOS BASE'!W$41</f>
        <v>1635.1638495753466</v>
      </c>
      <c r="BC125" s="188">
        <v>0</v>
      </c>
      <c r="BD125" s="186">
        <f>IF($BC$11&gt;0,(BC125/$BC$11)*'DADOS BASE'!W$39,0)</f>
        <v>0</v>
      </c>
      <c r="BE125" s="187"/>
    </row>
    <row r="126" spans="2:57" x14ac:dyDescent="0.3">
      <c r="B126" s="223" t="s">
        <v>250</v>
      </c>
      <c r="C126" s="223" t="s">
        <v>261</v>
      </c>
      <c r="D126" s="223" t="s">
        <v>94</v>
      </c>
      <c r="E126" s="223">
        <v>2010</v>
      </c>
      <c r="F126" s="224"/>
      <c r="G126" s="225"/>
      <c r="H126" s="226">
        <f ca="1">IF(AND(E126&gt;=2018,SUMIF('DADOS BASE'!$C$101:$D$104,D126,'DADOS BASE'!$H$101:$H$104)&gt;J126),
SUMIF('DADOS BASE'!$C$101:$D$104,D126,'DADOS BASE'!$H$101:$H$104),
J126)</f>
        <v>2145623.5732615339</v>
      </c>
      <c r="I126" s="225"/>
      <c r="J126" s="226">
        <f t="shared" si="81"/>
        <v>2145623.5732615339</v>
      </c>
      <c r="K126" s="226"/>
      <c r="L126" s="227">
        <v>2112.3945266286</v>
      </c>
      <c r="M126" s="226">
        <f t="shared" si="82"/>
        <v>1.6479923132968577E-3</v>
      </c>
      <c r="N126" s="226">
        <f>L126*'DADOS BASE'!$I$29</f>
        <v>2080151.2127694231</v>
      </c>
      <c r="O126" s="228"/>
      <c r="P126" s="227">
        <v>0</v>
      </c>
      <c r="Q126" s="226">
        <f>P126*'DADOS BASE'!$I$33</f>
        <v>0</v>
      </c>
      <c r="R126" s="226"/>
      <c r="S126" s="227">
        <v>83.109015765288007</v>
      </c>
      <c r="T126" s="226">
        <f>S126*'DADOS BASE'!$I$37</f>
        <v>65472.360492110856</v>
      </c>
      <c r="U126" s="226"/>
      <c r="V126" s="226">
        <f t="shared" si="83"/>
        <v>65472.360492110856</v>
      </c>
      <c r="W126" s="228"/>
      <c r="X126" s="226"/>
      <c r="Y126" s="226"/>
      <c r="Z126" s="224"/>
      <c r="AA126" s="226"/>
      <c r="AB126" s="226"/>
      <c r="AC126" s="226"/>
      <c r="AD126" s="226"/>
      <c r="AE126" s="227">
        <v>1441</v>
      </c>
      <c r="AF126" s="227">
        <v>1032.3777540146</v>
      </c>
      <c r="AG126" s="226" t="s">
        <v>155</v>
      </c>
      <c r="AH126" s="229">
        <v>0.61199999999999999</v>
      </c>
      <c r="AI126" s="225">
        <f t="shared" si="84"/>
        <v>631.81518545693518</v>
      </c>
      <c r="AJ126" s="226">
        <f t="shared" si="85"/>
        <v>-0.14880799437835224</v>
      </c>
      <c r="AK126" s="226"/>
      <c r="AL126" s="226">
        <f t="shared" si="86"/>
        <v>206.41365516133041</v>
      </c>
      <c r="AM126" s="228">
        <f t="shared" si="87"/>
        <v>213096.86571339844</v>
      </c>
      <c r="AN126" s="226"/>
      <c r="AO126" s="227">
        <v>1.8445945945946001</v>
      </c>
      <c r="AP126" s="225"/>
      <c r="AQ126" s="226">
        <f t="shared" si="88"/>
        <v>1904.3184246350447</v>
      </c>
      <c r="AR126" s="226">
        <f t="shared" si="89"/>
        <v>2.0261750776721927E-3</v>
      </c>
      <c r="AS126" s="228">
        <f>AR126*'DADOS BASE'!W$38</f>
        <v>607801.39823926857</v>
      </c>
      <c r="AT126" s="225"/>
      <c r="AU126" s="227">
        <v>49.766713312972001</v>
      </c>
      <c r="AV126" s="227">
        <v>107.75</v>
      </c>
      <c r="AW126" s="226">
        <f t="shared" si="90"/>
        <v>12.441678328243</v>
      </c>
      <c r="AX126" s="226">
        <f>IF($AW$11&gt;0,(AW126/$AW$11)*'DADOS BASE'!W$40,0)</f>
        <v>2235.4756518419135</v>
      </c>
      <c r="AY126" s="226">
        <f t="shared" si="91"/>
        <v>22.949852591961818</v>
      </c>
      <c r="AZ126" s="226">
        <f t="shared" si="92"/>
        <v>1.2002845307284113E-3</v>
      </c>
      <c r="BA126" s="226">
        <f>AZ126*'DADOS BASE'!W$41</f>
        <v>8867.5265954511979</v>
      </c>
      <c r="BB126" s="225"/>
      <c r="BC126" s="227">
        <v>0</v>
      </c>
      <c r="BD126" s="226">
        <f>IF($BC$11&gt;0,(BC126/$BC$11)*'DADOS BASE'!W$39,0)</f>
        <v>0</v>
      </c>
      <c r="BE126" s="187"/>
    </row>
    <row r="127" spans="2:57" x14ac:dyDescent="0.3">
      <c r="B127" s="184" t="s">
        <v>250</v>
      </c>
      <c r="C127" s="184" t="s">
        <v>262</v>
      </c>
      <c r="D127" s="184" t="s">
        <v>94</v>
      </c>
      <c r="E127" s="184">
        <v>2013</v>
      </c>
      <c r="F127" s="185"/>
      <c r="H127" s="186">
        <f ca="1">IF(AND(E127&gt;=2018,SUMIF('DADOS BASE'!$C$101:$D$104,D127,'DADOS BASE'!$H$101:$H$104)&gt;J127),
SUMIF('DADOS BASE'!$C$101:$D$104,D127,'DADOS BASE'!$H$101:$H$104),
J127)</f>
        <v>1598582.9948852684</v>
      </c>
      <c r="J127" s="186">
        <f t="shared" si="81"/>
        <v>1598582.9948852684</v>
      </c>
      <c r="K127" s="186"/>
      <c r="L127" s="188">
        <v>1623.3617767919</v>
      </c>
      <c r="M127" s="186">
        <f t="shared" si="82"/>
        <v>1.2664716255077419E-3</v>
      </c>
      <c r="N127" s="186">
        <f>L127*'DADOS BASE'!$I$29</f>
        <v>1598582.9948852684</v>
      </c>
      <c r="O127" s="187"/>
      <c r="P127" s="188">
        <v>0</v>
      </c>
      <c r="Q127" s="186">
        <f>P127*'DADOS BASE'!$I$33</f>
        <v>0</v>
      </c>
      <c r="R127" s="186"/>
      <c r="S127" s="188">
        <v>0</v>
      </c>
      <c r="T127" s="186">
        <f>S127*'DADOS BASE'!$I$37</f>
        <v>0</v>
      </c>
      <c r="U127" s="186"/>
      <c r="V127" s="186">
        <f t="shared" si="83"/>
        <v>0</v>
      </c>
      <c r="W127" s="187"/>
      <c r="X127" s="186"/>
      <c r="Y127" s="186"/>
      <c r="Z127" s="185"/>
      <c r="AA127" s="186"/>
      <c r="AB127" s="186"/>
      <c r="AC127" s="186"/>
      <c r="AD127" s="186"/>
      <c r="AE127" s="188">
        <v>871</v>
      </c>
      <c r="AF127" s="188">
        <v>669.19507686197005</v>
      </c>
      <c r="AG127" s="186" t="s">
        <v>155</v>
      </c>
      <c r="AH127" s="189">
        <v>0.68200000000000005</v>
      </c>
      <c r="AI127" s="183">
        <f t="shared" si="84"/>
        <v>456.3910424198636</v>
      </c>
      <c r="AJ127" s="186">
        <f t="shared" si="85"/>
        <v>-5.439240996276614E-2</v>
      </c>
      <c r="AK127" s="186"/>
      <c r="AL127" s="186">
        <f t="shared" si="86"/>
        <v>189.4494052790339</v>
      </c>
      <c r="AM127" s="187">
        <f t="shared" si="87"/>
        <v>126778.60932715761</v>
      </c>
      <c r="AN127" s="186"/>
      <c r="AO127" s="188">
        <v>1.9022988505747001</v>
      </c>
      <c r="AQ127" s="186">
        <f t="shared" si="88"/>
        <v>1273.0090255247737</v>
      </c>
      <c r="AR127" s="186">
        <f t="shared" si="89"/>
        <v>1.3544684165225052E-3</v>
      </c>
      <c r="AS127" s="187">
        <f>AR127*'DADOS BASE'!W$38</f>
        <v>406306.34859999834</v>
      </c>
      <c r="AU127" s="188">
        <v>0</v>
      </c>
      <c r="AV127" s="188">
        <v>0</v>
      </c>
      <c r="AW127" s="186">
        <f t="shared" si="90"/>
        <v>0</v>
      </c>
      <c r="AX127" s="186">
        <f>IF($AW$11&gt;0,(AW127/$AW$11)*'DADOS BASE'!W$40,0)</f>
        <v>0</v>
      </c>
      <c r="AY127" s="186">
        <f t="shared" si="91"/>
        <v>0</v>
      </c>
      <c r="AZ127" s="186">
        <f t="shared" si="92"/>
        <v>0</v>
      </c>
      <c r="BA127" s="186">
        <f>AZ127*'DADOS BASE'!W$41</f>
        <v>0</v>
      </c>
      <c r="BC127" s="188">
        <v>0</v>
      </c>
      <c r="BD127" s="186">
        <f>IF($BC$11&gt;0,(BC127/$BC$11)*'DADOS BASE'!W$39,0)</f>
        <v>0</v>
      </c>
      <c r="BE127" s="187"/>
    </row>
    <row r="128" spans="2:57" x14ac:dyDescent="0.3">
      <c r="B128" s="223" t="s">
        <v>250</v>
      </c>
      <c r="C128" s="223" t="s">
        <v>263</v>
      </c>
      <c r="D128" s="223" t="s">
        <v>94</v>
      </c>
      <c r="E128" s="223">
        <v>1995</v>
      </c>
      <c r="F128" s="224"/>
      <c r="G128" s="225"/>
      <c r="H128" s="226">
        <f ca="1">IF(AND(E128&gt;=2018,SUMIF('DADOS BASE'!$C$101:$D$104,D128,'DADOS BASE'!$H$101:$H$104)&gt;J128),
SUMIF('DADOS BASE'!$C$101:$D$104,D128,'DADOS BASE'!$H$101:$H$104),
J128)</f>
        <v>2447868.1372178704</v>
      </c>
      <c r="I128" s="225"/>
      <c r="J128" s="226">
        <f t="shared" si="81"/>
        <v>2447868.1372178704</v>
      </c>
      <c r="K128" s="226"/>
      <c r="L128" s="227">
        <v>2485.6329015544002</v>
      </c>
      <c r="M128" s="226">
        <f t="shared" si="82"/>
        <v>1.9391755961312553E-3</v>
      </c>
      <c r="N128" s="226">
        <f>L128*'DADOS BASE'!$I$29</f>
        <v>2447692.5259412201</v>
      </c>
      <c r="O128" s="228"/>
      <c r="P128" s="227">
        <v>0</v>
      </c>
      <c r="Q128" s="226">
        <f>P128*'DADOS BASE'!$I$33</f>
        <v>0</v>
      </c>
      <c r="R128" s="226"/>
      <c r="S128" s="227">
        <v>0.22291666666667001</v>
      </c>
      <c r="T128" s="226">
        <f>S128*'DADOS BASE'!$I$37</f>
        <v>175.61127665039379</v>
      </c>
      <c r="U128" s="226"/>
      <c r="V128" s="226">
        <f t="shared" si="83"/>
        <v>175.61127665039379</v>
      </c>
      <c r="W128" s="228"/>
      <c r="X128" s="226"/>
      <c r="Y128" s="226"/>
      <c r="Z128" s="224"/>
      <c r="AA128" s="226"/>
      <c r="AB128" s="226"/>
      <c r="AC128" s="226"/>
      <c r="AD128" s="226"/>
      <c r="AE128" s="227">
        <v>1561</v>
      </c>
      <c r="AF128" s="227">
        <v>1126.1939657528001</v>
      </c>
      <c r="AG128" s="226" t="s">
        <v>155</v>
      </c>
      <c r="AH128" s="229">
        <v>0.627</v>
      </c>
      <c r="AI128" s="225">
        <f t="shared" si="84"/>
        <v>706.12361652700565</v>
      </c>
      <c r="AJ128" s="226">
        <f t="shared" si="85"/>
        <v>-0.12857608343215521</v>
      </c>
      <c r="AK128" s="226"/>
      <c r="AL128" s="226">
        <f t="shared" si="86"/>
        <v>202.77845875798116</v>
      </c>
      <c r="AM128" s="228">
        <f t="shared" si="87"/>
        <v>228367.8766378914</v>
      </c>
      <c r="AN128" s="226"/>
      <c r="AO128" s="227">
        <v>2.3342046303210999</v>
      </c>
      <c r="AP128" s="225"/>
      <c r="AQ128" s="226">
        <f t="shared" si="88"/>
        <v>2628.767169499868</v>
      </c>
      <c r="AR128" s="226">
        <f t="shared" si="89"/>
        <v>2.7969810379082365E-3</v>
      </c>
      <c r="AS128" s="228">
        <f>AR128*'DADOS BASE'!W$38</f>
        <v>839023.73710095789</v>
      </c>
      <c r="AT128" s="225"/>
      <c r="AU128" s="227">
        <v>0.22291666666667001</v>
      </c>
      <c r="AV128" s="227">
        <v>1.25</v>
      </c>
      <c r="AW128" s="226">
        <f t="shared" si="90"/>
        <v>5.5729166666667503E-2</v>
      </c>
      <c r="AX128" s="226">
        <f>IF($AW$11&gt;0,(AW128/$AW$11)*'DADOS BASE'!W$40,0)</f>
        <v>10.013214607708669</v>
      </c>
      <c r="AY128" s="226">
        <f t="shared" si="91"/>
        <v>0.13008327887727159</v>
      </c>
      <c r="AZ128" s="226">
        <f t="shared" si="92"/>
        <v>6.8033965236668192E-6</v>
      </c>
      <c r="BA128" s="226">
        <f>AZ128*'DADOS BASE'!W$41</f>
        <v>50.262498656384395</v>
      </c>
      <c r="BB128" s="225"/>
      <c r="BC128" s="227">
        <v>0</v>
      </c>
      <c r="BD128" s="226">
        <f>IF($BC$11&gt;0,(BC128/$BC$11)*'DADOS BASE'!W$39,0)</f>
        <v>0</v>
      </c>
      <c r="BE128" s="187"/>
    </row>
    <row r="129" spans="2:57" x14ac:dyDescent="0.3">
      <c r="B129" s="184" t="s">
        <v>250</v>
      </c>
      <c r="C129" s="184" t="s">
        <v>264</v>
      </c>
      <c r="D129" s="184" t="s">
        <v>94</v>
      </c>
      <c r="E129" s="184">
        <v>2010</v>
      </c>
      <c r="F129" s="185"/>
      <c r="H129" s="186">
        <f ca="1">IF(AND(E129&gt;=2018,SUMIF('DADOS BASE'!$C$101:$D$104,D129,'DADOS BASE'!$H$101:$H$104)&gt;J129),
SUMIF('DADOS BASE'!$C$101:$D$104,D129,'DADOS BASE'!$H$101:$H$104),
J129)</f>
        <v>3413070.8153521977</v>
      </c>
      <c r="J129" s="186">
        <f t="shared" si="81"/>
        <v>3413070.8153521977</v>
      </c>
      <c r="K129" s="186"/>
      <c r="L129" s="188">
        <v>3464.0150046474</v>
      </c>
      <c r="M129" s="186">
        <f t="shared" si="82"/>
        <v>2.7024639710248543E-3</v>
      </c>
      <c r="N129" s="186">
        <f>L129*'DADOS BASE'!$I$29</f>
        <v>3411140.732535928</v>
      </c>
      <c r="O129" s="187"/>
      <c r="P129" s="188">
        <v>0</v>
      </c>
      <c r="Q129" s="186">
        <f>P129*'DADOS BASE'!$I$33</f>
        <v>0</v>
      </c>
      <c r="R129" s="186"/>
      <c r="S129" s="188">
        <v>2.4500000000000002</v>
      </c>
      <c r="T129" s="186">
        <f>S129*'DADOS BASE'!$I$37</f>
        <v>1930.0828162697196</v>
      </c>
      <c r="U129" s="186"/>
      <c r="V129" s="186">
        <f t="shared" si="83"/>
        <v>1930.0828162697196</v>
      </c>
      <c r="W129" s="187"/>
      <c r="X129" s="186"/>
      <c r="Y129" s="186"/>
      <c r="Z129" s="185"/>
      <c r="AA129" s="186"/>
      <c r="AB129" s="186"/>
      <c r="AC129" s="186"/>
      <c r="AD129" s="186"/>
      <c r="AE129" s="188">
        <v>1712</v>
      </c>
      <c r="AF129" s="188">
        <v>1275.3369276392</v>
      </c>
      <c r="AG129" s="186" t="s">
        <v>155</v>
      </c>
      <c r="AH129" s="189">
        <v>0.64400000000000002</v>
      </c>
      <c r="AI129" s="183">
        <f t="shared" si="84"/>
        <v>821.31698139964476</v>
      </c>
      <c r="AJ129" s="186">
        <f t="shared" si="85"/>
        <v>-0.1056465843597986</v>
      </c>
      <c r="AK129" s="186"/>
      <c r="AL129" s="186">
        <f t="shared" si="86"/>
        <v>198.658569500852</v>
      </c>
      <c r="AM129" s="187">
        <f t="shared" si="87"/>
        <v>253356.60967641507</v>
      </c>
      <c r="AN129" s="186"/>
      <c r="AO129" s="188">
        <v>2.1496539792388001</v>
      </c>
      <c r="AQ129" s="186">
        <f t="shared" si="88"/>
        <v>2741.5331013697919</v>
      </c>
      <c r="AR129" s="186">
        <f t="shared" si="89"/>
        <v>2.9169628213167064E-3</v>
      </c>
      <c r="AS129" s="187">
        <f>AR129*'DADOS BASE'!W$38</f>
        <v>875015.24470685062</v>
      </c>
      <c r="AU129" s="188">
        <v>2.4500000000000002</v>
      </c>
      <c r="AV129" s="188">
        <v>11.5</v>
      </c>
      <c r="AW129" s="186">
        <f t="shared" si="90"/>
        <v>0.61250000000000004</v>
      </c>
      <c r="AX129" s="186">
        <f>IF($AW$11&gt;0,(AW129/$AW$11)*'DADOS BASE'!W$40,0)</f>
        <v>110.05177923986184</v>
      </c>
      <c r="AY129" s="186">
        <f t="shared" si="91"/>
        <v>1.3166630622837652</v>
      </c>
      <c r="AZ129" s="186">
        <f t="shared" si="92"/>
        <v>6.8861893535395797E-5</v>
      </c>
      <c r="BA129" s="186">
        <f>AZ129*'DADOS BASE'!W$41</f>
        <v>508.74159976691362</v>
      </c>
      <c r="BC129" s="188">
        <v>0</v>
      </c>
      <c r="BD129" s="186">
        <f>IF($BC$11&gt;0,(BC129/$BC$11)*'DADOS BASE'!W$39,0)</f>
        <v>0</v>
      </c>
      <c r="BE129" s="187"/>
    </row>
    <row r="130" spans="2:57" x14ac:dyDescent="0.3">
      <c r="B130" s="223" t="s">
        <v>250</v>
      </c>
      <c r="C130" s="223" t="s">
        <v>265</v>
      </c>
      <c r="D130" s="223" t="s">
        <v>92</v>
      </c>
      <c r="E130" s="223">
        <v>1947</v>
      </c>
      <c r="F130" s="224"/>
      <c r="G130" s="225"/>
      <c r="H130" s="226">
        <f ca="1">IF(AND(E130&gt;=2018,SUMIF('DADOS BASE'!$C$101:$D$104,D130,'DADOS BASE'!$H$101:$H$104)&gt;J130),
SUMIF('DADOS BASE'!$C$101:$D$104,D130,'DADOS BASE'!$H$101:$H$104),
J130)</f>
        <v>3143858.4832053115</v>
      </c>
      <c r="I130" s="225"/>
      <c r="J130" s="226">
        <f t="shared" si="81"/>
        <v>3143858.4832053115</v>
      </c>
      <c r="K130" s="226"/>
      <c r="L130" s="227">
        <v>3192.5897558073002</v>
      </c>
      <c r="M130" s="226">
        <f t="shared" si="82"/>
        <v>2.4907105707558824E-3</v>
      </c>
      <c r="N130" s="226">
        <f>L130*'DADOS BASE'!$I$29</f>
        <v>3143858.4832053115</v>
      </c>
      <c r="O130" s="228"/>
      <c r="P130" s="227">
        <v>0</v>
      </c>
      <c r="Q130" s="226">
        <f>P130*'DADOS BASE'!$I$33</f>
        <v>0</v>
      </c>
      <c r="R130" s="226"/>
      <c r="S130" s="227">
        <v>0</v>
      </c>
      <c r="T130" s="226">
        <f>S130*'DADOS BASE'!$I$37</f>
        <v>0</v>
      </c>
      <c r="U130" s="226"/>
      <c r="V130" s="226">
        <f t="shared" si="83"/>
        <v>0</v>
      </c>
      <c r="W130" s="228"/>
      <c r="X130" s="226"/>
      <c r="Y130" s="226"/>
      <c r="Z130" s="224"/>
      <c r="AA130" s="226"/>
      <c r="AB130" s="226"/>
      <c r="AC130" s="226"/>
      <c r="AD130" s="226"/>
      <c r="AE130" s="227">
        <v>1355</v>
      </c>
      <c r="AF130" s="227">
        <v>1096.9672408219999</v>
      </c>
      <c r="AG130" s="226" t="s">
        <v>155</v>
      </c>
      <c r="AH130" s="229">
        <v>0.71299999999999997</v>
      </c>
      <c r="AI130" s="225">
        <f t="shared" si="84"/>
        <v>782.1376427060859</v>
      </c>
      <c r="AJ130" s="226">
        <f t="shared" si="85"/>
        <v>-1.2579794007292453E-2</v>
      </c>
      <c r="AK130" s="226"/>
      <c r="AL130" s="226">
        <f t="shared" si="86"/>
        <v>181.93666604544546</v>
      </c>
      <c r="AM130" s="228">
        <f t="shared" si="87"/>
        <v>199578.56255622595</v>
      </c>
      <c r="AN130" s="226"/>
      <c r="AO130" s="227">
        <v>2.1701388888888999</v>
      </c>
      <c r="AP130" s="225"/>
      <c r="AQ130" s="226">
        <f t="shared" si="88"/>
        <v>2380.5712691449771</v>
      </c>
      <c r="AR130" s="226">
        <f t="shared" si="89"/>
        <v>2.5329031709013742E-3</v>
      </c>
      <c r="AS130" s="228">
        <f>AR130*'DADOS BASE'!W$38</f>
        <v>759807.04029151145</v>
      </c>
      <c r="AT130" s="225"/>
      <c r="AU130" s="227">
        <v>0</v>
      </c>
      <c r="AV130" s="227">
        <v>0</v>
      </c>
      <c r="AW130" s="226">
        <f t="shared" si="90"/>
        <v>0</v>
      </c>
      <c r="AX130" s="226">
        <f>IF($AW$11&gt;0,(AW130/$AW$11)*'DADOS BASE'!W$40,0)</f>
        <v>0</v>
      </c>
      <c r="AY130" s="226">
        <f t="shared" si="91"/>
        <v>0</v>
      </c>
      <c r="AZ130" s="226">
        <f t="shared" si="92"/>
        <v>0</v>
      </c>
      <c r="BA130" s="226">
        <f>AZ130*'DADOS BASE'!W$41</f>
        <v>0</v>
      </c>
      <c r="BB130" s="225"/>
      <c r="BC130" s="227">
        <v>108</v>
      </c>
      <c r="BD130" s="226">
        <f>IF($BC$11&gt;0,(BC130/$BC$11)*'DADOS BASE'!W$39,0)</f>
        <v>583546.03335151076</v>
      </c>
      <c r="BE130" s="187"/>
    </row>
    <row r="131" spans="2:57" x14ac:dyDescent="0.3">
      <c r="B131" s="184" t="s">
        <v>250</v>
      </c>
      <c r="C131" s="184" t="s">
        <v>266</v>
      </c>
      <c r="D131" s="184" t="s">
        <v>94</v>
      </c>
      <c r="E131" s="184">
        <v>1909</v>
      </c>
      <c r="F131" s="185"/>
      <c r="H131" s="186">
        <f ca="1">IF(AND(E131&gt;=2018,SUMIF('DADOS BASE'!$C$101:$D$104,D131,'DADOS BASE'!$H$101:$H$104)&gt;J131),
SUMIF('DADOS BASE'!$C$101:$D$104,D131,'DADOS BASE'!$H$101:$H$104),
J131)</f>
        <v>13434800.014893528</v>
      </c>
      <c r="J131" s="186">
        <f t="shared" si="81"/>
        <v>13434800.014893528</v>
      </c>
      <c r="K131" s="186"/>
      <c r="L131" s="188">
        <v>13624.371230246001</v>
      </c>
      <c r="M131" s="186">
        <f t="shared" si="82"/>
        <v>1.0629103028771437E-2</v>
      </c>
      <c r="N131" s="186">
        <f>L131*'DADOS BASE'!$I$29</f>
        <v>13416410.609172115</v>
      </c>
      <c r="O131" s="187"/>
      <c r="P131" s="188">
        <v>54.914138371538002</v>
      </c>
      <c r="Q131" s="186">
        <f>P131*'DADOS BASE'!$I$33</f>
        <v>13518.984035862644</v>
      </c>
      <c r="R131" s="186"/>
      <c r="S131" s="188">
        <v>6.1823943661972001</v>
      </c>
      <c r="T131" s="186">
        <f>S131*'DADOS BASE'!$I$37</f>
        <v>4870.4216855509958</v>
      </c>
      <c r="U131" s="186"/>
      <c r="V131" s="186">
        <f t="shared" si="83"/>
        <v>18389.405721413641</v>
      </c>
      <c r="W131" s="187"/>
      <c r="X131" s="186"/>
      <c r="Y131" s="186"/>
      <c r="Z131" s="185"/>
      <c r="AA131" s="186"/>
      <c r="AB131" s="186"/>
      <c r="AC131" s="186"/>
      <c r="AD131" s="186"/>
      <c r="AE131" s="188">
        <v>9190</v>
      </c>
      <c r="AF131" s="188">
        <v>5966.4368727554001</v>
      </c>
      <c r="AG131" s="186" t="s">
        <v>155</v>
      </c>
      <c r="AH131" s="189">
        <v>0.754</v>
      </c>
      <c r="AI131" s="183">
        <f t="shared" si="84"/>
        <v>4498.6934020575718</v>
      </c>
      <c r="AJ131" s="186">
        <f t="shared" si="85"/>
        <v>4.2720762578979402E-2</v>
      </c>
      <c r="AK131" s="186"/>
      <c r="AL131" s="186">
        <f t="shared" si="86"/>
        <v>172.00046254295748</v>
      </c>
      <c r="AM131" s="187">
        <f t="shared" si="87"/>
        <v>1026229.9018472856</v>
      </c>
      <c r="AN131" s="186"/>
      <c r="AO131" s="188">
        <v>1.5745935607268</v>
      </c>
      <c r="AQ131" s="186">
        <f t="shared" si="88"/>
        <v>9394.7130803235996</v>
      </c>
      <c r="AR131" s="186">
        <f t="shared" si="89"/>
        <v>9.9958774010605305E-3</v>
      </c>
      <c r="AS131" s="187">
        <f>AR131*'DADOS BASE'!W$38</f>
        <v>2998511.0013162591</v>
      </c>
      <c r="AU131" s="188">
        <v>6.1823943661972001</v>
      </c>
      <c r="AV131" s="188">
        <v>50.25</v>
      </c>
      <c r="AW131" s="186">
        <f t="shared" si="90"/>
        <v>1.5455985915493</v>
      </c>
      <c r="AX131" s="186">
        <f>IF($AW$11&gt;0,(AW131/$AW$11)*'DADOS BASE'!W$40,0)</f>
        <v>277.707551005102</v>
      </c>
      <c r="AY131" s="186">
        <f t="shared" si="91"/>
        <v>2.4336895897219395</v>
      </c>
      <c r="AZ131" s="186">
        <f t="shared" si="92"/>
        <v>1.2728273331747409E-4</v>
      </c>
      <c r="BA131" s="186">
        <f>AZ131*'DADOS BASE'!W$41</f>
        <v>940.34622119928929</v>
      </c>
      <c r="BC131" s="188">
        <v>0</v>
      </c>
      <c r="BD131" s="186">
        <f>IF($BC$11&gt;0,(BC131/$BC$11)*'DADOS BASE'!W$39,0)</f>
        <v>0</v>
      </c>
      <c r="BE131" s="187"/>
    </row>
    <row r="132" spans="2:57" x14ac:dyDescent="0.3">
      <c r="B132" s="223" t="s">
        <v>250</v>
      </c>
      <c r="C132" s="223" t="s">
        <v>267</v>
      </c>
      <c r="D132" s="223" t="s">
        <v>94</v>
      </c>
      <c r="E132" s="223">
        <v>2016</v>
      </c>
      <c r="F132" s="224"/>
      <c r="G132" s="225"/>
      <c r="H132" s="226">
        <f ca="1">IF(AND(E132&gt;=2018,SUMIF('DADOS BASE'!$C$101:$D$104,D132,'DADOS BASE'!$H$101:$H$104)&gt;J132),
SUMIF('DADOS BASE'!$C$101:$D$104,D132,'DADOS BASE'!$H$101:$H$104),
J132)</f>
        <v>417227.19511967601</v>
      </c>
      <c r="I132" s="225"/>
      <c r="J132" s="226">
        <f t="shared" si="81"/>
        <v>417227.19511967601</v>
      </c>
      <c r="K132" s="226"/>
      <c r="L132" s="227">
        <v>421.13441121446999</v>
      </c>
      <c r="M132" s="226">
        <f t="shared" si="82"/>
        <v>3.2854955066273365E-4</v>
      </c>
      <c r="N132" s="226">
        <f>L132*'DADOS BASE'!$I$29</f>
        <v>414706.27062495635</v>
      </c>
      <c r="O132" s="228"/>
      <c r="P132" s="227">
        <v>0</v>
      </c>
      <c r="Q132" s="226">
        <f>P132*'DADOS BASE'!$I$33</f>
        <v>0</v>
      </c>
      <c r="R132" s="226"/>
      <c r="S132" s="227">
        <v>3.2</v>
      </c>
      <c r="T132" s="226">
        <f>S132*'DADOS BASE'!$I$37</f>
        <v>2520.9244947196339</v>
      </c>
      <c r="U132" s="226"/>
      <c r="V132" s="226">
        <f t="shared" si="83"/>
        <v>2520.9244947196339</v>
      </c>
      <c r="W132" s="228"/>
      <c r="X132" s="226"/>
      <c r="Y132" s="226"/>
      <c r="Z132" s="224"/>
      <c r="AA132" s="226"/>
      <c r="AB132" s="226"/>
      <c r="AC132" s="226"/>
      <c r="AD132" s="226"/>
      <c r="AE132" s="227">
        <v>322</v>
      </c>
      <c r="AF132" s="227">
        <v>204.86832953677001</v>
      </c>
      <c r="AG132" s="226" t="s">
        <v>155</v>
      </c>
      <c r="AH132" s="229">
        <v>0.65800000000000003</v>
      </c>
      <c r="AI132" s="225">
        <f t="shared" si="84"/>
        <v>134.80336083519467</v>
      </c>
      <c r="AJ132" s="226">
        <f t="shared" si="85"/>
        <v>-8.6763467476681372E-2</v>
      </c>
      <c r="AK132" s="226"/>
      <c r="AL132" s="226">
        <f t="shared" si="86"/>
        <v>195.26571952439269</v>
      </c>
      <c r="AM132" s="228">
        <f t="shared" si="87"/>
        <v>40003.76177475779</v>
      </c>
      <c r="AN132" s="226"/>
      <c r="AO132" s="227">
        <v>1.8666666666667</v>
      </c>
      <c r="AP132" s="225"/>
      <c r="AQ132" s="226">
        <f t="shared" si="88"/>
        <v>382.42088180197749</v>
      </c>
      <c r="AR132" s="226">
        <f t="shared" si="89"/>
        <v>4.0689185687897104E-4</v>
      </c>
      <c r="AS132" s="228">
        <f>AR132*'DADOS BASE'!W$38</f>
        <v>122057.29024529153</v>
      </c>
      <c r="AT132" s="225"/>
      <c r="AU132" s="227">
        <v>3.2</v>
      </c>
      <c r="AV132" s="227">
        <v>5.5</v>
      </c>
      <c r="AW132" s="226">
        <f t="shared" si="90"/>
        <v>0.8</v>
      </c>
      <c r="AX132" s="226">
        <f>IF($AW$11&gt;0,(AW132/$AW$11)*'DADOS BASE'!W$40,0)</f>
        <v>143.74109941532976</v>
      </c>
      <c r="AY132" s="226">
        <f t="shared" si="91"/>
        <v>1.49333333333336</v>
      </c>
      <c r="AZ132" s="226">
        <f t="shared" si="92"/>
        <v>7.8101804446836526E-5</v>
      </c>
      <c r="BA132" s="226">
        <f>AZ132*'DADOS BASE'!W$41</f>
        <v>577.0047104287471</v>
      </c>
      <c r="BB132" s="225"/>
      <c r="BC132" s="227">
        <v>0</v>
      </c>
      <c r="BD132" s="226">
        <f>IF($BC$11&gt;0,(BC132/$BC$11)*'DADOS BASE'!W$39,0)</f>
        <v>0</v>
      </c>
      <c r="BE132" s="187"/>
    </row>
    <row r="133" spans="2:57" x14ac:dyDescent="0.3">
      <c r="B133" s="184" t="s">
        <v>250</v>
      </c>
      <c r="C133" s="184" t="s">
        <v>268</v>
      </c>
      <c r="D133" s="184" t="s">
        <v>92</v>
      </c>
      <c r="E133" s="184">
        <v>1955</v>
      </c>
      <c r="F133" s="185"/>
      <c r="H133" s="186">
        <f ca="1">IF(AND(E133&gt;=2018,SUMIF('DADOS BASE'!$C$101:$D$104,D133,'DADOS BASE'!$H$101:$H$104)&gt;J133),
SUMIF('DADOS BASE'!$C$101:$D$104,D133,'DADOS BASE'!$H$101:$H$104),
J133)</f>
        <v>3320382.7324741259</v>
      </c>
      <c r="J133" s="186">
        <f t="shared" si="81"/>
        <v>3320382.7324741259</v>
      </c>
      <c r="K133" s="186"/>
      <c r="L133" s="188">
        <v>3369.3702132603999</v>
      </c>
      <c r="M133" s="186">
        <f t="shared" si="82"/>
        <v>2.628626490983521E-3</v>
      </c>
      <c r="N133" s="186">
        <f>L133*'DADOS BASE'!$I$29</f>
        <v>3317940.5868698661</v>
      </c>
      <c r="O133" s="187"/>
      <c r="P133" s="188">
        <v>0</v>
      </c>
      <c r="Q133" s="186">
        <f>P133*'DADOS BASE'!$I$33</f>
        <v>0</v>
      </c>
      <c r="R133" s="186"/>
      <c r="S133" s="188">
        <v>3.1</v>
      </c>
      <c r="T133" s="186">
        <f>S133*'DADOS BASE'!$I$37</f>
        <v>2442.1456042596451</v>
      </c>
      <c r="U133" s="186"/>
      <c r="V133" s="186">
        <f t="shared" si="83"/>
        <v>2442.1456042596451</v>
      </c>
      <c r="W133" s="187"/>
      <c r="X133" s="186"/>
      <c r="Y133" s="186"/>
      <c r="Z133" s="185"/>
      <c r="AA133" s="186"/>
      <c r="AB133" s="186"/>
      <c r="AC133" s="186"/>
      <c r="AD133" s="186"/>
      <c r="AE133" s="188">
        <v>1909</v>
      </c>
      <c r="AF133" s="188">
        <v>1420.9157246207001</v>
      </c>
      <c r="AG133" s="186" t="s">
        <v>155</v>
      </c>
      <c r="AH133" s="189">
        <v>0.67700000000000005</v>
      </c>
      <c r="AI133" s="183">
        <f t="shared" si="84"/>
        <v>961.95994556821404</v>
      </c>
      <c r="AJ133" s="186">
        <f t="shared" si="85"/>
        <v>-6.1136380278165148E-2</v>
      </c>
      <c r="AK133" s="186"/>
      <c r="AL133" s="186">
        <f t="shared" si="86"/>
        <v>190.66113741348363</v>
      </c>
      <c r="AM133" s="187">
        <f t="shared" si="87"/>
        <v>270913.40822488698</v>
      </c>
      <c r="AN133" s="186"/>
      <c r="AO133" s="188">
        <v>1.9725545390570001</v>
      </c>
      <c r="AQ133" s="186">
        <f t="shared" si="88"/>
        <v>2802.8337622180284</v>
      </c>
      <c r="AR133" s="186">
        <f t="shared" si="89"/>
        <v>2.9821860894680588E-3</v>
      </c>
      <c r="AS133" s="187">
        <f>AR133*'DADOS BASE'!W$38</f>
        <v>894580.5794190272</v>
      </c>
      <c r="AU133" s="188">
        <v>3.1</v>
      </c>
      <c r="AV133" s="188">
        <v>15.5</v>
      </c>
      <c r="AW133" s="186">
        <f t="shared" si="90"/>
        <v>0.77500000000000002</v>
      </c>
      <c r="AX133" s="186">
        <f>IF($AW$11&gt;0,(AW133/$AW$11)*'DADOS BASE'!W$40,0)</f>
        <v>139.2491900586007</v>
      </c>
      <c r="AY133" s="186">
        <f t="shared" si="91"/>
        <v>1.5287297677691751</v>
      </c>
      <c r="AZ133" s="186">
        <f t="shared" si="92"/>
        <v>7.9953049134618613E-5</v>
      </c>
      <c r="BA133" s="186">
        <f>AZ133*'DADOS BASE'!W$41</f>
        <v>590.68143547462694</v>
      </c>
      <c r="BC133" s="188">
        <v>62.5</v>
      </c>
      <c r="BD133" s="186">
        <f>IF($BC$11&gt;0,(BC133/$BC$11)*'DADOS BASE'!W$39,0)</f>
        <v>337700.25078212429</v>
      </c>
      <c r="BE133" s="187"/>
    </row>
    <row r="134" spans="2:57" x14ac:dyDescent="0.3">
      <c r="B134" s="223" t="s">
        <v>250</v>
      </c>
      <c r="C134" s="223" t="s">
        <v>269</v>
      </c>
      <c r="D134" s="223" t="s">
        <v>94</v>
      </c>
      <c r="E134" s="223">
        <v>2016</v>
      </c>
      <c r="F134" s="224"/>
      <c r="G134" s="225"/>
      <c r="H134" s="226">
        <f ca="1">IF(AND(E134&gt;=2018,SUMIF('DADOS BASE'!$C$101:$D$104,D134,'DADOS BASE'!$H$101:$H$104)&gt;J134),
SUMIF('DADOS BASE'!$C$101:$D$104,D134,'DADOS BASE'!$H$101:$H$104),
J134)</f>
        <v>1593202.8234993485</v>
      </c>
      <c r="I134" s="225"/>
      <c r="J134" s="226">
        <f t="shared" si="81"/>
        <v>1593202.8234993485</v>
      </c>
      <c r="K134" s="226"/>
      <c r="L134" s="227">
        <v>1616.6982102405</v>
      </c>
      <c r="M134" s="226">
        <f t="shared" si="82"/>
        <v>1.2612730196993015E-3</v>
      </c>
      <c r="N134" s="226">
        <f>L134*'DADOS BASE'!$I$29</f>
        <v>1592021.1401424487</v>
      </c>
      <c r="O134" s="228"/>
      <c r="P134" s="227">
        <v>0</v>
      </c>
      <c r="Q134" s="226">
        <f>P134*'DADOS BASE'!$I$33</f>
        <v>0</v>
      </c>
      <c r="R134" s="226"/>
      <c r="S134" s="227">
        <v>1.5</v>
      </c>
      <c r="T134" s="226">
        <f>S134*'DADOS BASE'!$I$37</f>
        <v>1181.6833568998284</v>
      </c>
      <c r="U134" s="226"/>
      <c r="V134" s="226">
        <f t="shared" si="83"/>
        <v>1181.6833568998284</v>
      </c>
      <c r="W134" s="228"/>
      <c r="X134" s="226"/>
      <c r="Y134" s="226"/>
      <c r="Z134" s="224"/>
      <c r="AA134" s="226"/>
      <c r="AB134" s="226"/>
      <c r="AC134" s="226"/>
      <c r="AD134" s="226"/>
      <c r="AE134" s="227">
        <v>862</v>
      </c>
      <c r="AF134" s="227">
        <v>698.46239435333996</v>
      </c>
      <c r="AG134" s="226" t="s">
        <v>155</v>
      </c>
      <c r="AH134" s="229">
        <v>0.64</v>
      </c>
      <c r="AI134" s="225">
        <f t="shared" si="84"/>
        <v>447.01593238613759</v>
      </c>
      <c r="AJ134" s="226">
        <f t="shared" si="85"/>
        <v>-0.1110417606121178</v>
      </c>
      <c r="AK134" s="226"/>
      <c r="AL134" s="226">
        <f t="shared" si="86"/>
        <v>199.62795520841181</v>
      </c>
      <c r="AM134" s="228">
        <f t="shared" si="87"/>
        <v>139432.61957472863</v>
      </c>
      <c r="AN134" s="226"/>
      <c r="AO134" s="227">
        <v>1.6318897637795</v>
      </c>
      <c r="AP134" s="225"/>
      <c r="AQ134" s="226">
        <f t="shared" si="88"/>
        <v>1139.813631730136</v>
      </c>
      <c r="AR134" s="226">
        <f t="shared" si="89"/>
        <v>1.2127498972474794E-3</v>
      </c>
      <c r="AS134" s="228">
        <f>AR134*'DADOS BASE'!W$38</f>
        <v>363794.3687020326</v>
      </c>
      <c r="AT134" s="225"/>
      <c r="AU134" s="227">
        <v>1.5</v>
      </c>
      <c r="AV134" s="227">
        <v>6.25</v>
      </c>
      <c r="AW134" s="226">
        <f t="shared" si="90"/>
        <v>0.375</v>
      </c>
      <c r="AX134" s="226">
        <f>IF($AW$11&gt;0,(AW134/$AW$11)*'DADOS BASE'!W$40,0)</f>
        <v>67.378640350935825</v>
      </c>
      <c r="AY134" s="226">
        <f t="shared" si="91"/>
        <v>0.61195866141731248</v>
      </c>
      <c r="AZ134" s="226">
        <f t="shared" si="92"/>
        <v>3.2005631051492362E-5</v>
      </c>
      <c r="BA134" s="226">
        <f>AZ134*'DADOS BASE'!W$41</f>
        <v>236.45292202597346</v>
      </c>
      <c r="BB134" s="225"/>
      <c r="BC134" s="227">
        <v>0</v>
      </c>
      <c r="BD134" s="226">
        <f>IF($BC$11&gt;0,(BC134/$BC$11)*'DADOS BASE'!W$39,0)</f>
        <v>0</v>
      </c>
      <c r="BE134" s="187"/>
    </row>
    <row r="135" spans="2:57" x14ac:dyDescent="0.3">
      <c r="B135" s="184" t="s">
        <v>250</v>
      </c>
      <c r="C135" s="184" t="s">
        <v>270</v>
      </c>
      <c r="D135" s="184" t="s">
        <v>94</v>
      </c>
      <c r="E135" s="184">
        <v>2013</v>
      </c>
      <c r="F135" s="185"/>
      <c r="H135" s="186">
        <f ca="1">IF(AND(E135&gt;=2018,SUMIF('DADOS BASE'!$C$101:$D$104,D135,'DADOS BASE'!$H$101:$H$104)&gt;J135),
SUMIF('DADOS BASE'!$C$101:$D$104,D135,'DADOS BASE'!$H$101:$H$104),
J135)</f>
        <v>1041938.7525099083</v>
      </c>
      <c r="J135" s="186">
        <f t="shared" si="81"/>
        <v>1041938.7525099083</v>
      </c>
      <c r="K135" s="186"/>
      <c r="L135" s="188">
        <v>1056.6892890733</v>
      </c>
      <c r="M135" s="186">
        <f t="shared" si="82"/>
        <v>8.2438001234325965E-4</v>
      </c>
      <c r="N135" s="186">
        <f>L135*'DADOS BASE'!$I$29</f>
        <v>1040560.1219268584</v>
      </c>
      <c r="O135" s="187"/>
      <c r="P135" s="188">
        <v>0</v>
      </c>
      <c r="Q135" s="186">
        <f>P135*'DADOS BASE'!$I$33</f>
        <v>0</v>
      </c>
      <c r="R135" s="186"/>
      <c r="S135" s="188">
        <v>1.75</v>
      </c>
      <c r="T135" s="186">
        <f>S135*'DADOS BASE'!$I$37</f>
        <v>1378.6305830497997</v>
      </c>
      <c r="U135" s="186"/>
      <c r="V135" s="186">
        <f t="shared" si="83"/>
        <v>1378.6305830497997</v>
      </c>
      <c r="W135" s="187"/>
      <c r="X135" s="186"/>
      <c r="Y135" s="186"/>
      <c r="Z135" s="185"/>
      <c r="AA135" s="186"/>
      <c r="AB135" s="186"/>
      <c r="AC135" s="186"/>
      <c r="AD135" s="186"/>
      <c r="AE135" s="188">
        <v>669</v>
      </c>
      <c r="AF135" s="188">
        <v>487.68993101627001</v>
      </c>
      <c r="AG135" s="186" t="s">
        <v>155</v>
      </c>
      <c r="AH135" s="189">
        <v>0.621</v>
      </c>
      <c r="AI135" s="183">
        <f t="shared" si="84"/>
        <v>302.85544716110365</v>
      </c>
      <c r="AJ135" s="186">
        <f t="shared" si="85"/>
        <v>-0.13666884781063401</v>
      </c>
      <c r="AK135" s="186"/>
      <c r="AL135" s="186">
        <f t="shared" si="86"/>
        <v>204.23253731932087</v>
      </c>
      <c r="AM135" s="187">
        <f t="shared" si="87"/>
        <v>99602.152036537387</v>
      </c>
      <c r="AN135" s="186"/>
      <c r="AO135" s="188">
        <v>1.8154981549814999</v>
      </c>
      <c r="AQ135" s="186">
        <f t="shared" si="88"/>
        <v>885.40016996309316</v>
      </c>
      <c r="AR135" s="186">
        <f t="shared" si="89"/>
        <v>9.420566093035368E-4</v>
      </c>
      <c r="AS135" s="187">
        <f>AR135*'DADOS BASE'!W$38</f>
        <v>282593.21253376413</v>
      </c>
      <c r="AU135" s="188">
        <v>1.75</v>
      </c>
      <c r="AV135" s="188">
        <v>6</v>
      </c>
      <c r="AW135" s="186">
        <f t="shared" si="90"/>
        <v>0.4375</v>
      </c>
      <c r="AX135" s="186">
        <f>IF($AW$11&gt;0,(AW135/$AW$11)*'DADOS BASE'!W$40,0)</f>
        <v>78.608413742758472</v>
      </c>
      <c r="AY135" s="186">
        <f t="shared" si="91"/>
        <v>0.79428044280440624</v>
      </c>
      <c r="AZ135" s="186">
        <f t="shared" si="92"/>
        <v>4.154111773651028E-5</v>
      </c>
      <c r="BA135" s="186">
        <f>AZ135*'DADOS BASE'!W$41</f>
        <v>306.89970328095887</v>
      </c>
      <c r="BC135" s="188">
        <v>0</v>
      </c>
      <c r="BD135" s="186">
        <f>IF($BC$11&gt;0,(BC135/$BC$11)*'DADOS BASE'!W$39,0)</f>
        <v>0</v>
      </c>
      <c r="BE135" s="187"/>
    </row>
    <row r="136" spans="2:57" x14ac:dyDescent="0.3">
      <c r="B136" s="223" t="s">
        <v>250</v>
      </c>
      <c r="C136" s="223" t="s">
        <v>271</v>
      </c>
      <c r="D136" s="223" t="s">
        <v>94</v>
      </c>
      <c r="E136" s="223">
        <v>1995</v>
      </c>
      <c r="F136" s="224"/>
      <c r="G136" s="225"/>
      <c r="H136" s="226">
        <f ca="1">IF(AND(E136&gt;=2018,SUMIF('DADOS BASE'!$C$101:$D$104,D136,'DADOS BASE'!$H$101:$H$104)&gt;J136),
SUMIF('DADOS BASE'!$C$101:$D$104,D136,'DADOS BASE'!$H$101:$H$104),
J136)</f>
        <v>3181680.0526798731</v>
      </c>
      <c r="I136" s="225"/>
      <c r="J136" s="226">
        <f t="shared" si="81"/>
        <v>3181680.0526798731</v>
      </c>
      <c r="K136" s="226"/>
      <c r="L136" s="227">
        <v>3191.8294655894001</v>
      </c>
      <c r="M136" s="226">
        <f t="shared" si="82"/>
        <v>2.4901174275626108E-3</v>
      </c>
      <c r="N136" s="226">
        <f>L136*'DADOS BASE'!$I$29</f>
        <v>3143109.7979578893</v>
      </c>
      <c r="O136" s="228"/>
      <c r="P136" s="227">
        <v>156.67244662837001</v>
      </c>
      <c r="Q136" s="226">
        <f>P136*'DADOS BASE'!$I$33</f>
        <v>38570.254721983634</v>
      </c>
      <c r="R136" s="226"/>
      <c r="S136" s="227">
        <v>0</v>
      </c>
      <c r="T136" s="226">
        <f>S136*'DADOS BASE'!$I$37</f>
        <v>0</v>
      </c>
      <c r="U136" s="226"/>
      <c r="V136" s="226">
        <f t="shared" si="83"/>
        <v>38570.254721983634</v>
      </c>
      <c r="W136" s="228"/>
      <c r="X136" s="226"/>
      <c r="Y136" s="226"/>
      <c r="Z136" s="224"/>
      <c r="AA136" s="226"/>
      <c r="AB136" s="226"/>
      <c r="AC136" s="226"/>
      <c r="AD136" s="226"/>
      <c r="AE136" s="227">
        <v>1735</v>
      </c>
      <c r="AF136" s="227">
        <v>1276.7317862356999</v>
      </c>
      <c r="AG136" s="226" t="s">
        <v>155</v>
      </c>
      <c r="AH136" s="229">
        <v>0.69399999999999995</v>
      </c>
      <c r="AI136" s="225">
        <f t="shared" si="84"/>
        <v>886.05185964757572</v>
      </c>
      <c r="AJ136" s="226">
        <f t="shared" si="85"/>
        <v>-3.8206881205808674E-2</v>
      </c>
      <c r="AK136" s="226"/>
      <c r="AL136" s="226">
        <f t="shared" si="86"/>
        <v>186.5412481563545</v>
      </c>
      <c r="AM136" s="228">
        <f t="shared" si="87"/>
        <v>238163.14096529945</v>
      </c>
      <c r="AN136" s="226"/>
      <c r="AO136" s="227">
        <v>1.7029411764705999</v>
      </c>
      <c r="AP136" s="225"/>
      <c r="AQ136" s="226">
        <f t="shared" si="88"/>
        <v>2174.1991300896334</v>
      </c>
      <c r="AR136" s="226">
        <f t="shared" si="89"/>
        <v>2.3133253526801522E-3</v>
      </c>
      <c r="AS136" s="228">
        <f>AR136*'DADOS BASE'!W$38</f>
        <v>693939.23527906695</v>
      </c>
      <c r="AT136" s="225"/>
      <c r="AU136" s="227">
        <v>0</v>
      </c>
      <c r="AV136" s="227">
        <v>61.5</v>
      </c>
      <c r="AW136" s="226">
        <f t="shared" si="90"/>
        <v>0</v>
      </c>
      <c r="AX136" s="226">
        <f>IF($AW$11&gt;0,(AW136/$AW$11)*'DADOS BASE'!W$40,0)</f>
        <v>0</v>
      </c>
      <c r="AY136" s="226">
        <f t="shared" si="91"/>
        <v>0</v>
      </c>
      <c r="AZ136" s="226">
        <f t="shared" si="92"/>
        <v>0</v>
      </c>
      <c r="BA136" s="226">
        <f>AZ136*'DADOS BASE'!W$41</f>
        <v>0</v>
      </c>
      <c r="BB136" s="225"/>
      <c r="BC136" s="227">
        <v>0</v>
      </c>
      <c r="BD136" s="226">
        <f>IF($BC$11&gt;0,(BC136/$BC$11)*'DADOS BASE'!W$39,0)</f>
        <v>0</v>
      </c>
      <c r="BE136" s="187"/>
    </row>
    <row r="137" spans="2:57" x14ac:dyDescent="0.3">
      <c r="B137" s="184" t="s">
        <v>250</v>
      </c>
      <c r="C137" s="184" t="s">
        <v>272</v>
      </c>
      <c r="D137" s="184" t="s">
        <v>92</v>
      </c>
      <c r="E137" s="184">
        <v>2008</v>
      </c>
      <c r="F137" s="185"/>
      <c r="H137" s="186">
        <f ca="1">IF(AND(E137&gt;=2018,SUMIF('DADOS BASE'!$C$101:$D$104,D137,'DADOS BASE'!$H$101:$H$104)&gt;J137),
SUMIF('DADOS BASE'!$C$101:$D$104,D137,'DADOS BASE'!$H$101:$H$104),
J137)</f>
        <v>2925257.8481777199</v>
      </c>
      <c r="J137" s="186">
        <f t="shared" si="81"/>
        <v>2925257.8481777199</v>
      </c>
      <c r="K137" s="186"/>
      <c r="L137" s="188">
        <v>2947.2871782896</v>
      </c>
      <c r="M137" s="186">
        <f t="shared" si="82"/>
        <v>2.2993368680289238E-3</v>
      </c>
      <c r="N137" s="186">
        <f>L137*'DADOS BASE'!$I$29</f>
        <v>2902300.1721575642</v>
      </c>
      <c r="O137" s="187"/>
      <c r="P137" s="188">
        <v>0</v>
      </c>
      <c r="Q137" s="186">
        <f>P137*'DADOS BASE'!$I$33</f>
        <v>0</v>
      </c>
      <c r="R137" s="186"/>
      <c r="S137" s="188">
        <v>29.141913380737002</v>
      </c>
      <c r="T137" s="186">
        <f>S137*'DADOS BASE'!$I$37</f>
        <v>22957.676020155548</v>
      </c>
      <c r="U137" s="186"/>
      <c r="V137" s="186">
        <f t="shared" si="83"/>
        <v>22957.676020155548</v>
      </c>
      <c r="W137" s="187"/>
      <c r="X137" s="186"/>
      <c r="Y137" s="186"/>
      <c r="Z137" s="185"/>
      <c r="AA137" s="186"/>
      <c r="AB137" s="186"/>
      <c r="AC137" s="186"/>
      <c r="AD137" s="186"/>
      <c r="AE137" s="188">
        <v>2036</v>
      </c>
      <c r="AF137" s="188">
        <v>1114.7526252828</v>
      </c>
      <c r="AG137" s="186" t="s">
        <v>155</v>
      </c>
      <c r="AH137" s="189">
        <v>0.68200000000000005</v>
      </c>
      <c r="AI137" s="183">
        <f t="shared" si="84"/>
        <v>760.26129044286961</v>
      </c>
      <c r="AJ137" s="186">
        <f t="shared" si="85"/>
        <v>-5.439240996276614E-2</v>
      </c>
      <c r="AK137" s="186"/>
      <c r="AL137" s="186">
        <f t="shared" si="86"/>
        <v>189.4494052790339</v>
      </c>
      <c r="AM137" s="187">
        <f t="shared" si="87"/>
        <v>211189.22189306817</v>
      </c>
      <c r="AN137" s="186"/>
      <c r="AO137" s="188">
        <v>1.7328244274808999</v>
      </c>
      <c r="AQ137" s="186">
        <f t="shared" si="88"/>
        <v>1931.670579688498</v>
      </c>
      <c r="AR137" s="186">
        <f t="shared" si="89"/>
        <v>2.0552774873180764E-3</v>
      </c>
      <c r="AS137" s="187">
        <f>AR137*'DADOS BASE'!W$38</f>
        <v>616531.38681223127</v>
      </c>
      <c r="AU137" s="188">
        <v>29.141913380737002</v>
      </c>
      <c r="AV137" s="188">
        <v>173.5</v>
      </c>
      <c r="AW137" s="186">
        <f t="shared" si="90"/>
        <v>7.2854783451842504</v>
      </c>
      <c r="AX137" s="186">
        <f>IF($AW$11&gt;0,(AW137/$AW$11)*'DADOS BASE'!W$40,0)</f>
        <v>1309.0283338792019</v>
      </c>
      <c r="AY137" s="186">
        <f t="shared" si="91"/>
        <v>12.624454842418393</v>
      </c>
      <c r="AZ137" s="186">
        <f t="shared" si="92"/>
        <v>6.6026297099361299E-4</v>
      </c>
      <c r="BA137" s="186">
        <f>AZ137*'DADOS BASE'!W$41</f>
        <v>4877.9262794667102</v>
      </c>
      <c r="BC137" s="188">
        <v>0</v>
      </c>
      <c r="BD137" s="186">
        <f>IF($BC$11&gt;0,(BC137/$BC$11)*'DADOS BASE'!W$39,0)</f>
        <v>0</v>
      </c>
      <c r="BE137" s="187"/>
    </row>
    <row r="138" spans="2:57" x14ac:dyDescent="0.3">
      <c r="B138" s="223" t="s">
        <v>250</v>
      </c>
      <c r="C138" s="223" t="s">
        <v>273</v>
      </c>
      <c r="D138" s="223" t="s">
        <v>94</v>
      </c>
      <c r="E138" s="223">
        <v>2006</v>
      </c>
      <c r="F138" s="224"/>
      <c r="G138" s="225"/>
      <c r="H138" s="226">
        <f ca="1">IF(AND(E138&gt;=2018,SUMIF('DADOS BASE'!$C$101:$D$104,D138,'DADOS BASE'!$H$101:$H$104)&gt;J138),
SUMIF('DADOS BASE'!$C$101:$D$104,D138,'DADOS BASE'!$H$101:$H$104),
J138)</f>
        <v>3831109.1204037061</v>
      </c>
      <c r="I138" s="225"/>
      <c r="J138" s="226">
        <f t="shared" si="81"/>
        <v>3831109.1204037061</v>
      </c>
      <c r="K138" s="226"/>
      <c r="L138" s="227">
        <v>3890.4930983759</v>
      </c>
      <c r="M138" s="226">
        <f t="shared" si="82"/>
        <v>3.0351824151385073E-3</v>
      </c>
      <c r="N138" s="226">
        <f>L138*'DADOS BASE'!$I$29</f>
        <v>3831109.1204037061</v>
      </c>
      <c r="O138" s="228"/>
      <c r="P138" s="227">
        <v>0</v>
      </c>
      <c r="Q138" s="226">
        <f>P138*'DADOS BASE'!$I$33</f>
        <v>0</v>
      </c>
      <c r="R138" s="226"/>
      <c r="S138" s="227">
        <v>0</v>
      </c>
      <c r="T138" s="226">
        <f>S138*'DADOS BASE'!$I$37</f>
        <v>0</v>
      </c>
      <c r="U138" s="226"/>
      <c r="V138" s="226">
        <f t="shared" si="83"/>
        <v>0</v>
      </c>
      <c r="W138" s="228"/>
      <c r="X138" s="226"/>
      <c r="Y138" s="226"/>
      <c r="Z138" s="224"/>
      <c r="AA138" s="226"/>
      <c r="AB138" s="226"/>
      <c r="AC138" s="226"/>
      <c r="AD138" s="226"/>
      <c r="AE138" s="227">
        <v>2845</v>
      </c>
      <c r="AF138" s="227">
        <v>1800.6161088911001</v>
      </c>
      <c r="AG138" s="226" t="s">
        <v>155</v>
      </c>
      <c r="AH138" s="229">
        <v>0.68600000000000005</v>
      </c>
      <c r="AI138" s="225">
        <f t="shared" si="84"/>
        <v>1235.2226506992947</v>
      </c>
      <c r="AJ138" s="226">
        <f t="shared" si="85"/>
        <v>-4.8997233710446939E-2</v>
      </c>
      <c r="AK138" s="226"/>
      <c r="AL138" s="226">
        <f t="shared" si="86"/>
        <v>188.48001957147409</v>
      </c>
      <c r="AM138" s="228">
        <f t="shared" si="87"/>
        <v>339380.15944450605</v>
      </c>
      <c r="AN138" s="226"/>
      <c r="AO138" s="227">
        <v>1.8627819548872</v>
      </c>
      <c r="AP138" s="225"/>
      <c r="AQ138" s="226">
        <f t="shared" si="88"/>
        <v>3354.1551953215467</v>
      </c>
      <c r="AR138" s="226">
        <f t="shared" si="89"/>
        <v>3.5687863833527059E-3</v>
      </c>
      <c r="AS138" s="228">
        <f>AR138*'DADOS BASE'!W$38</f>
        <v>1070545.866308385</v>
      </c>
      <c r="AT138" s="225"/>
      <c r="AU138" s="227">
        <v>0</v>
      </c>
      <c r="AV138" s="227">
        <v>0</v>
      </c>
      <c r="AW138" s="226">
        <f t="shared" si="90"/>
        <v>0</v>
      </c>
      <c r="AX138" s="226">
        <f>IF($AW$11&gt;0,(AW138/$AW$11)*'DADOS BASE'!W$40,0)</f>
        <v>0</v>
      </c>
      <c r="AY138" s="226">
        <f t="shared" si="91"/>
        <v>0</v>
      </c>
      <c r="AZ138" s="226">
        <f t="shared" si="92"/>
        <v>0</v>
      </c>
      <c r="BA138" s="226">
        <f>AZ138*'DADOS BASE'!W$41</f>
        <v>0</v>
      </c>
      <c r="BB138" s="225"/>
      <c r="BC138" s="227">
        <v>0</v>
      </c>
      <c r="BD138" s="226">
        <f>IF($BC$11&gt;0,(BC138/$BC$11)*'DADOS BASE'!W$39,0)</f>
        <v>0</v>
      </c>
      <c r="BE138" s="187"/>
    </row>
    <row r="139" spans="2:57" x14ac:dyDescent="0.3">
      <c r="B139" s="184" t="s">
        <v>250</v>
      </c>
      <c r="C139" s="184" t="s">
        <v>274</v>
      </c>
      <c r="D139" s="184" t="s">
        <v>94</v>
      </c>
      <c r="E139" s="184">
        <v>2017</v>
      </c>
      <c r="F139" s="185"/>
      <c r="H139" s="186">
        <f ca="1">IF(AND(E139&gt;=2018,SUMIF('DADOS BASE'!$C$101:$D$104,D139,'DADOS BASE'!$H$101:$H$104)&gt;J139),
SUMIF('DADOS BASE'!$C$101:$D$104,D139,'DADOS BASE'!$H$101:$H$104),
J139)</f>
        <v>1038261.0650568241</v>
      </c>
      <c r="J139" s="186">
        <f t="shared" si="81"/>
        <v>1038261.0650568241</v>
      </c>
      <c r="K139" s="186"/>
      <c r="L139" s="188">
        <v>964.05115388917</v>
      </c>
      <c r="M139" s="186">
        <f t="shared" si="82"/>
        <v>7.5210803247534211E-4</v>
      </c>
      <c r="N139" s="186">
        <f>L139*'DADOS BASE'!$I$29</f>
        <v>949336.00312575616</v>
      </c>
      <c r="O139" s="187"/>
      <c r="P139" s="188">
        <v>0</v>
      </c>
      <c r="Q139" s="186">
        <f>P139*'DADOS BASE'!$I$33</f>
        <v>0</v>
      </c>
      <c r="R139" s="186"/>
      <c r="S139" s="188">
        <v>112.87930232558</v>
      </c>
      <c r="T139" s="186">
        <f>S139*'DADOS BASE'!$I$37</f>
        <v>88925.061931067976</v>
      </c>
      <c r="U139" s="186"/>
      <c r="V139" s="186">
        <f t="shared" si="83"/>
        <v>88925.061931067976</v>
      </c>
      <c r="W139" s="187"/>
      <c r="X139" s="186"/>
      <c r="Y139" s="186"/>
      <c r="Z139" s="185"/>
      <c r="AA139" s="186"/>
      <c r="AB139" s="186"/>
      <c r="AC139" s="186"/>
      <c r="AD139" s="186"/>
      <c r="AE139" s="188">
        <v>485</v>
      </c>
      <c r="AF139" s="188">
        <v>448.94558930847001</v>
      </c>
      <c r="AG139" s="186" t="s">
        <v>155</v>
      </c>
      <c r="AH139" s="189">
        <v>0.65900000000000003</v>
      </c>
      <c r="AI139" s="183">
        <f t="shared" si="84"/>
        <v>295.85514335428172</v>
      </c>
      <c r="AJ139" s="186">
        <f t="shared" si="85"/>
        <v>-8.5414673413601566E-2</v>
      </c>
      <c r="AK139" s="186"/>
      <c r="AL139" s="186">
        <f t="shared" si="86"/>
        <v>195.02337309750274</v>
      </c>
      <c r="AM139" s="187">
        <f t="shared" si="87"/>
        <v>87554.883164183979</v>
      </c>
      <c r="AN139" s="186"/>
      <c r="AO139" s="188">
        <v>1.5565326633165999</v>
      </c>
      <c r="AQ139" s="186">
        <f t="shared" si="88"/>
        <v>698.79847381055322</v>
      </c>
      <c r="AR139" s="186">
        <f t="shared" si="89"/>
        <v>7.435143375360961E-4</v>
      </c>
      <c r="AS139" s="187">
        <f>AR139*'DADOS BASE'!W$38</f>
        <v>223035.54068218352</v>
      </c>
      <c r="AU139" s="188">
        <v>110.97465116279</v>
      </c>
      <c r="AV139" s="188">
        <v>99.75</v>
      </c>
      <c r="AW139" s="186">
        <f t="shared" si="90"/>
        <v>27.743662790697499</v>
      </c>
      <c r="AX139" s="186">
        <f>IF($AW$11&gt;0,(AW139/$AW$11)*'DADOS BASE'!W$40,0)</f>
        <v>4984.8807391787932</v>
      </c>
      <c r="AY139" s="186">
        <f t="shared" si="91"/>
        <v>43.183917333762032</v>
      </c>
      <c r="AZ139" s="186">
        <f t="shared" si="92"/>
        <v>2.258532500122618E-3</v>
      </c>
      <c r="BA139" s="186">
        <f>AZ139*'DADOS BASE'!W$41</f>
        <v>16685.707845767323</v>
      </c>
      <c r="BC139" s="188">
        <v>0</v>
      </c>
      <c r="BD139" s="186">
        <f>IF($BC$11&gt;0,(BC139/$BC$11)*'DADOS BASE'!W$39,0)</f>
        <v>0</v>
      </c>
      <c r="BE139" s="187"/>
    </row>
    <row r="140" spans="2:57" x14ac:dyDescent="0.3">
      <c r="B140" s="223" t="s">
        <v>250</v>
      </c>
      <c r="C140" s="223" t="s">
        <v>275</v>
      </c>
      <c r="D140" s="223" t="s">
        <v>94</v>
      </c>
      <c r="E140" s="223">
        <v>2013</v>
      </c>
      <c r="F140" s="224"/>
      <c r="G140" s="225"/>
      <c r="H140" s="226">
        <f ca="1">IF(AND(E140&gt;=2018,SUMIF('DADOS BASE'!$C$101:$D$104,D140,'DADOS BASE'!$H$101:$H$104)&gt;J140),
SUMIF('DADOS BASE'!$C$101:$D$104,D140,'DADOS BASE'!$H$101:$H$104),
J140)</f>
        <v>1057880.5543261301</v>
      </c>
      <c r="I140" s="225"/>
      <c r="J140" s="226">
        <f t="shared" si="81"/>
        <v>1057880.5543261301</v>
      </c>
      <c r="K140" s="226"/>
      <c r="L140" s="227">
        <v>1073.5181962520001</v>
      </c>
      <c r="M140" s="226">
        <f t="shared" si="82"/>
        <v>8.3750914580865818E-4</v>
      </c>
      <c r="N140" s="226">
        <f>L140*'DADOS BASE'!$I$29</f>
        <v>1057132.1548667601</v>
      </c>
      <c r="O140" s="228"/>
      <c r="P140" s="227">
        <v>0</v>
      </c>
      <c r="Q140" s="226">
        <f>P140*'DADOS BASE'!$I$33</f>
        <v>0</v>
      </c>
      <c r="R140" s="226"/>
      <c r="S140" s="227">
        <v>0.95</v>
      </c>
      <c r="T140" s="226">
        <f>S140*'DADOS BASE'!$I$37</f>
        <v>748.39945936989125</v>
      </c>
      <c r="U140" s="226"/>
      <c r="V140" s="226">
        <f t="shared" si="83"/>
        <v>748.39945936989125</v>
      </c>
      <c r="W140" s="228"/>
      <c r="X140" s="226"/>
      <c r="Y140" s="226"/>
      <c r="Z140" s="224"/>
      <c r="AA140" s="226"/>
      <c r="AB140" s="226"/>
      <c r="AC140" s="226"/>
      <c r="AD140" s="226"/>
      <c r="AE140" s="227">
        <v>715</v>
      </c>
      <c r="AF140" s="227">
        <v>391.92025440190997</v>
      </c>
      <c r="AG140" s="226" t="s">
        <v>155</v>
      </c>
      <c r="AH140" s="229">
        <v>0.61</v>
      </c>
      <c r="AI140" s="225">
        <f t="shared" si="84"/>
        <v>239.07135518516509</v>
      </c>
      <c r="AJ140" s="226">
        <f t="shared" si="85"/>
        <v>-0.15150558250451185</v>
      </c>
      <c r="AK140" s="226"/>
      <c r="AL140" s="226">
        <f t="shared" si="86"/>
        <v>206.89834801511032</v>
      </c>
      <c r="AM140" s="228">
        <f t="shared" si="87"/>
        <v>81087.653189416946</v>
      </c>
      <c r="AN140" s="226"/>
      <c r="AO140" s="227">
        <v>1.8108614232210001</v>
      </c>
      <c r="AP140" s="225"/>
      <c r="AQ140" s="226">
        <f t="shared" si="88"/>
        <v>709.71326967537914</v>
      </c>
      <c r="AR140" s="226">
        <f t="shared" si="89"/>
        <v>7.5512756727388441E-4</v>
      </c>
      <c r="AS140" s="228">
        <f>AR140*'DADOS BASE'!W$38</f>
        <v>226519.21657499476</v>
      </c>
      <c r="AT140" s="225"/>
      <c r="AU140" s="227">
        <v>0.95</v>
      </c>
      <c r="AV140" s="227">
        <v>4.75</v>
      </c>
      <c r="AW140" s="226">
        <f t="shared" si="90"/>
        <v>0.23749999999999999</v>
      </c>
      <c r="AX140" s="226">
        <f>IF($AW$11&gt;0,(AW140/$AW$11)*'DADOS BASE'!W$40,0)</f>
        <v>42.673138888926026</v>
      </c>
      <c r="AY140" s="226">
        <f t="shared" si="91"/>
        <v>0.43007958801498752</v>
      </c>
      <c r="AZ140" s="226">
        <f t="shared" si="92"/>
        <v>2.2493298133742391E-5</v>
      </c>
      <c r="BA140" s="226">
        <f>AZ140*'DADOS BASE'!W$41</f>
        <v>166.17719741778902</v>
      </c>
      <c r="BB140" s="225"/>
      <c r="BC140" s="227">
        <v>0</v>
      </c>
      <c r="BD140" s="226">
        <f>IF($BC$11&gt;0,(BC140/$BC$11)*'DADOS BASE'!W$39,0)</f>
        <v>0</v>
      </c>
      <c r="BE140" s="187"/>
    </row>
    <row r="141" spans="2:57" x14ac:dyDescent="0.3">
      <c r="B141" s="184" t="s">
        <v>250</v>
      </c>
      <c r="C141" s="184" t="s">
        <v>276</v>
      </c>
      <c r="D141" s="184" t="s">
        <v>94</v>
      </c>
      <c r="E141" s="184">
        <v>2016</v>
      </c>
      <c r="F141" s="185"/>
      <c r="H141" s="186">
        <f ca="1">IF(AND(E141&gt;=2018,SUMIF('DADOS BASE'!$C$101:$D$104,D141,'DADOS BASE'!$H$101:$H$104)&gt;J141),
SUMIF('DADOS BASE'!$C$101:$D$104,D141,'DADOS BASE'!$H$101:$H$104),
J141)</f>
        <v>687512.93572277646</v>
      </c>
      <c r="J141" s="186">
        <f t="shared" si="81"/>
        <v>687512.93572277646</v>
      </c>
      <c r="K141" s="186"/>
      <c r="L141" s="188">
        <v>695.72970684243001</v>
      </c>
      <c r="M141" s="186">
        <f t="shared" si="82"/>
        <v>5.4277607452359576E-4</v>
      </c>
      <c r="N141" s="186">
        <f>L141*'DADOS BASE'!$I$29</f>
        <v>685110.17956374679</v>
      </c>
      <c r="O141" s="187"/>
      <c r="P141" s="188">
        <v>0</v>
      </c>
      <c r="Q141" s="186">
        <f>P141*'DADOS BASE'!$I$33</f>
        <v>0</v>
      </c>
      <c r="R141" s="186"/>
      <c r="S141" s="188">
        <v>3.05</v>
      </c>
      <c r="T141" s="186">
        <f>S141*'DADOS BASE'!$I$37</f>
        <v>2402.7561590296509</v>
      </c>
      <c r="U141" s="186"/>
      <c r="V141" s="186">
        <f t="shared" si="83"/>
        <v>2402.7561590296509</v>
      </c>
      <c r="W141" s="187"/>
      <c r="X141" s="186"/>
      <c r="Y141" s="186"/>
      <c r="Z141" s="185"/>
      <c r="AA141" s="186"/>
      <c r="AB141" s="186"/>
      <c r="AC141" s="186"/>
      <c r="AD141" s="186"/>
      <c r="AE141" s="188">
        <v>683</v>
      </c>
      <c r="AF141" s="188">
        <v>374.08981193717</v>
      </c>
      <c r="AG141" s="186" t="s">
        <v>155</v>
      </c>
      <c r="AH141" s="189">
        <v>0.63700000000000001</v>
      </c>
      <c r="AI141" s="183">
        <f t="shared" si="84"/>
        <v>238.29521020397729</v>
      </c>
      <c r="AJ141" s="186">
        <f t="shared" si="85"/>
        <v>-0.11508814280135721</v>
      </c>
      <c r="AK141" s="186"/>
      <c r="AL141" s="186">
        <f t="shared" si="86"/>
        <v>200.35499448908166</v>
      </c>
      <c r="AM141" s="187">
        <f t="shared" si="87"/>
        <v>74950.762209093285</v>
      </c>
      <c r="AN141" s="186"/>
      <c r="AO141" s="188">
        <v>1.6036363636363999</v>
      </c>
      <c r="AQ141" s="186">
        <f t="shared" si="88"/>
        <v>599.90402568834804</v>
      </c>
      <c r="AR141" s="186">
        <f t="shared" si="89"/>
        <v>6.3829166914556191E-4</v>
      </c>
      <c r="AS141" s="187">
        <f>AR141*'DADOS BASE'!W$38</f>
        <v>191471.39517521733</v>
      </c>
      <c r="AU141" s="188">
        <v>3.05</v>
      </c>
      <c r="AV141" s="188">
        <v>10.25</v>
      </c>
      <c r="AW141" s="186">
        <f t="shared" si="90"/>
        <v>0.76249999999999996</v>
      </c>
      <c r="AX141" s="186">
        <f>IF($AW$11&gt;0,(AW141/$AW$11)*'DADOS BASE'!W$40,0)</f>
        <v>137.00323538023616</v>
      </c>
      <c r="AY141" s="186">
        <f t="shared" si="91"/>
        <v>1.2227727272727549</v>
      </c>
      <c r="AZ141" s="186">
        <f t="shared" si="92"/>
        <v>6.3951399394004439E-5</v>
      </c>
      <c r="BA141" s="186">
        <f>AZ141*'DADOS BASE'!W$41</f>
        <v>472.46358711172275</v>
      </c>
      <c r="BC141" s="188">
        <v>0</v>
      </c>
      <c r="BD141" s="186">
        <f>IF($BC$11&gt;0,(BC141/$BC$11)*'DADOS BASE'!W$39,0)</f>
        <v>0</v>
      </c>
      <c r="BE141" s="187"/>
    </row>
    <row r="142" spans="2:57" x14ac:dyDescent="0.3">
      <c r="B142" s="223" t="s">
        <v>250</v>
      </c>
      <c r="C142" s="223" t="s">
        <v>277</v>
      </c>
      <c r="D142" s="223" t="s">
        <v>94</v>
      </c>
      <c r="E142" s="223">
        <v>2016</v>
      </c>
      <c r="F142" s="224"/>
      <c r="G142" s="225"/>
      <c r="H142" s="226">
        <f ca="1">IF(AND(E142&gt;=2018,SUMIF('DADOS BASE'!$C$101:$D$104,D142,'DADOS BASE'!$H$101:$H$104)&gt;J142),
SUMIF('DADOS BASE'!$C$101:$D$104,D142,'DADOS BASE'!$H$101:$H$104),
J142)</f>
        <v>1111448.188823316</v>
      </c>
      <c r="I142" s="225"/>
      <c r="J142" s="226">
        <f t="shared" si="81"/>
        <v>1111448.188823316</v>
      </c>
      <c r="K142" s="226"/>
      <c r="L142" s="227">
        <v>1122.079187715</v>
      </c>
      <c r="M142" s="226">
        <f t="shared" si="82"/>
        <v>8.753941808474602E-4</v>
      </c>
      <c r="N142" s="226">
        <f>L142*'DADOS BASE'!$I$29</f>
        <v>1104951.9177054116</v>
      </c>
      <c r="O142" s="228"/>
      <c r="P142" s="227">
        <v>0</v>
      </c>
      <c r="Q142" s="226">
        <f>P142*'DADOS BASE'!$I$33</f>
        <v>0</v>
      </c>
      <c r="R142" s="226"/>
      <c r="S142" s="227">
        <v>8.2462079371426</v>
      </c>
      <c r="T142" s="226">
        <f>S142*'DADOS BASE'!$I$37</f>
        <v>6496.2711179044509</v>
      </c>
      <c r="U142" s="226"/>
      <c r="V142" s="226">
        <f t="shared" si="83"/>
        <v>6496.2711179044509</v>
      </c>
      <c r="W142" s="228"/>
      <c r="X142" s="226"/>
      <c r="Y142" s="226"/>
      <c r="Z142" s="224"/>
      <c r="AA142" s="226"/>
      <c r="AB142" s="226"/>
      <c r="AC142" s="226"/>
      <c r="AD142" s="226"/>
      <c r="AE142" s="227">
        <v>991</v>
      </c>
      <c r="AF142" s="227">
        <v>453.76511767455003</v>
      </c>
      <c r="AG142" s="226" t="s">
        <v>155</v>
      </c>
      <c r="AH142" s="229">
        <v>0.66500000000000004</v>
      </c>
      <c r="AI142" s="225">
        <f t="shared" si="84"/>
        <v>301.75380325357577</v>
      </c>
      <c r="AJ142" s="226">
        <f t="shared" si="85"/>
        <v>-7.732190903512276E-2</v>
      </c>
      <c r="AK142" s="226"/>
      <c r="AL142" s="226">
        <f t="shared" si="86"/>
        <v>193.56929453616306</v>
      </c>
      <c r="AM142" s="228">
        <f t="shared" si="87"/>
        <v>87834.993713381657</v>
      </c>
      <c r="AN142" s="226"/>
      <c r="AO142" s="227">
        <v>1.6369990680336</v>
      </c>
      <c r="AP142" s="225"/>
      <c r="AQ142" s="226">
        <f t="shared" si="88"/>
        <v>742.81307473939523</v>
      </c>
      <c r="AR142" s="226">
        <f t="shared" si="89"/>
        <v>7.9034541699319813E-4</v>
      </c>
      <c r="AS142" s="228">
        <f>AR142*'DADOS BASE'!W$38</f>
        <v>237083.68286335291</v>
      </c>
      <c r="AT142" s="225"/>
      <c r="AU142" s="227">
        <v>8.2462079371426</v>
      </c>
      <c r="AV142" s="227">
        <v>40</v>
      </c>
      <c r="AW142" s="226">
        <f t="shared" si="90"/>
        <v>2.06155198428565</v>
      </c>
      <c r="AX142" s="226">
        <f>IF($AW$11&gt;0,(AW142/$AW$11)*'DADOS BASE'!W$40,0)</f>
        <v>370.41218590384244</v>
      </c>
      <c r="AY142" s="226">
        <f t="shared" si="91"/>
        <v>3.3747586769784279</v>
      </c>
      <c r="AZ142" s="226">
        <f t="shared" si="92"/>
        <v>1.7650094346738563E-4</v>
      </c>
      <c r="BA142" s="226">
        <f>AZ142*'DADOS BASE'!W$41</f>
        <v>1303.9631606094672</v>
      </c>
      <c r="BB142" s="225"/>
      <c r="BC142" s="227">
        <v>0</v>
      </c>
      <c r="BD142" s="226">
        <f>IF($BC$11&gt;0,(BC142/$BC$11)*'DADOS BASE'!W$39,0)</f>
        <v>0</v>
      </c>
      <c r="BE142" s="187"/>
    </row>
    <row r="143" spans="2:57" x14ac:dyDescent="0.3">
      <c r="B143" s="184" t="s">
        <v>250</v>
      </c>
      <c r="C143" s="184" t="s">
        <v>278</v>
      </c>
      <c r="D143" s="184" t="s">
        <v>94</v>
      </c>
      <c r="E143" s="184">
        <v>2008</v>
      </c>
      <c r="F143" s="185"/>
      <c r="H143" s="186">
        <f ca="1">IF(AND(E143&gt;=2018,SUMIF('DADOS BASE'!$C$101:$D$104,D143,'DADOS BASE'!$H$101:$H$104)&gt;J143),
SUMIF('DADOS BASE'!$C$101:$D$104,D143,'DADOS BASE'!$H$101:$H$104),
J143)</f>
        <v>3474870.8759820387</v>
      </c>
      <c r="J143" s="186">
        <f t="shared" si="81"/>
        <v>3474870.8759820387</v>
      </c>
      <c r="K143" s="186"/>
      <c r="L143" s="188">
        <v>3511.0893463882999</v>
      </c>
      <c r="M143" s="186">
        <f t="shared" si="82"/>
        <v>2.7391891908474636E-3</v>
      </c>
      <c r="N143" s="186">
        <f>L143*'DADOS BASE'!$I$29</f>
        <v>3457496.5376794585</v>
      </c>
      <c r="O143" s="187"/>
      <c r="P143" s="188">
        <v>0</v>
      </c>
      <c r="Q143" s="186">
        <f>P143*'DADOS BASE'!$I$33</f>
        <v>0</v>
      </c>
      <c r="R143" s="186"/>
      <c r="S143" s="188">
        <v>22.054560810811001</v>
      </c>
      <c r="T143" s="186">
        <f>S143*'DADOS BASE'!$I$37</f>
        <v>17374.338302580363</v>
      </c>
      <c r="U143" s="186"/>
      <c r="V143" s="186">
        <f t="shared" si="83"/>
        <v>17374.338302580363</v>
      </c>
      <c r="W143" s="187"/>
      <c r="X143" s="186"/>
      <c r="Y143" s="186"/>
      <c r="Z143" s="185"/>
      <c r="AA143" s="186"/>
      <c r="AB143" s="186"/>
      <c r="AC143" s="186"/>
      <c r="AD143" s="186"/>
      <c r="AE143" s="188">
        <v>2063</v>
      </c>
      <c r="AF143" s="188">
        <v>1434.5810998306999</v>
      </c>
      <c r="AG143" s="186" t="s">
        <v>155</v>
      </c>
      <c r="AH143" s="189">
        <v>0.65900000000000003</v>
      </c>
      <c r="AI143" s="183">
        <f t="shared" si="84"/>
        <v>945.38894478843133</v>
      </c>
      <c r="AJ143" s="186">
        <f t="shared" si="85"/>
        <v>-8.5414673413601566E-2</v>
      </c>
      <c r="AK143" s="186"/>
      <c r="AL143" s="186">
        <f t="shared" si="86"/>
        <v>195.02337309750274</v>
      </c>
      <c r="AM143" s="187">
        <f t="shared" si="87"/>
        <v>279776.84507090843</v>
      </c>
      <c r="AN143" s="186"/>
      <c r="AO143" s="188">
        <v>1.9716135458166999</v>
      </c>
      <c r="AQ143" s="186">
        <f t="shared" si="88"/>
        <v>2828.4395289988274</v>
      </c>
      <c r="AR143" s="186">
        <f t="shared" si="89"/>
        <v>3.0094303600820367E-3</v>
      </c>
      <c r="AS143" s="187">
        <f>AR143*'DADOS BASE'!W$38</f>
        <v>902753.17316754418</v>
      </c>
      <c r="AU143" s="188">
        <v>22.054560810811001</v>
      </c>
      <c r="AV143" s="188">
        <v>122.25</v>
      </c>
      <c r="AW143" s="186">
        <f t="shared" si="90"/>
        <v>5.5136402027027502</v>
      </c>
      <c r="AX143" s="186">
        <f>IF($AW$11&gt;0,(AW143/$AW$11)*'DADOS BASE'!W$40,0)</f>
        <v>990.67088064631866</v>
      </c>
      <c r="AY143" s="186">
        <f t="shared" si="91"/>
        <v>10.870767710408277</v>
      </c>
      <c r="AZ143" s="186">
        <f t="shared" si="92"/>
        <v>5.685445807401408E-4</v>
      </c>
      <c r="BA143" s="186">
        <f>AZ143*'DADOS BASE'!W$41</f>
        <v>4200.3242242514661</v>
      </c>
      <c r="BC143" s="188">
        <v>0</v>
      </c>
      <c r="BD143" s="186">
        <f>IF($BC$11&gt;0,(BC143/$BC$11)*'DADOS BASE'!W$39,0)</f>
        <v>0</v>
      </c>
      <c r="BE143" s="187"/>
    </row>
    <row r="144" spans="2:57" x14ac:dyDescent="0.3">
      <c r="B144" s="223" t="s">
        <v>250</v>
      </c>
      <c r="C144" s="223" t="s">
        <v>279</v>
      </c>
      <c r="D144" s="223" t="s">
        <v>94</v>
      </c>
      <c r="E144" s="223">
        <v>2008</v>
      </c>
      <c r="F144" s="224"/>
      <c r="G144" s="225"/>
      <c r="H144" s="226">
        <f ca="1">IF(AND(E144&gt;=2018,SUMIF('DADOS BASE'!$C$101:$D$104,D144,'DADOS BASE'!$H$101:$H$104)&gt;J144),
SUMIF('DADOS BASE'!$C$101:$D$104,D144,'DADOS BASE'!$H$101:$H$104),
J144)</f>
        <v>3359334.6508150385</v>
      </c>
      <c r="I144" s="225"/>
      <c r="J144" s="226">
        <f t="shared" si="81"/>
        <v>3359334.6508150385</v>
      </c>
      <c r="K144" s="226"/>
      <c r="L144" s="227">
        <v>3411.4059045005001</v>
      </c>
      <c r="M144" s="226">
        <f t="shared" si="82"/>
        <v>2.6614207891955924E-3</v>
      </c>
      <c r="N144" s="226">
        <f>L144*'DADOS BASE'!$I$29</f>
        <v>3359334.6508150385</v>
      </c>
      <c r="O144" s="228"/>
      <c r="P144" s="227">
        <v>0</v>
      </c>
      <c r="Q144" s="226">
        <f>P144*'DADOS BASE'!$I$33</f>
        <v>0</v>
      </c>
      <c r="R144" s="226"/>
      <c r="S144" s="227">
        <v>0</v>
      </c>
      <c r="T144" s="226">
        <f>S144*'DADOS BASE'!$I$37</f>
        <v>0</v>
      </c>
      <c r="U144" s="226"/>
      <c r="V144" s="226">
        <f t="shared" si="83"/>
        <v>0</v>
      </c>
      <c r="W144" s="228"/>
      <c r="X144" s="226"/>
      <c r="Y144" s="226"/>
      <c r="Z144" s="224"/>
      <c r="AA144" s="226"/>
      <c r="AB144" s="226"/>
      <c r="AC144" s="226"/>
      <c r="AD144" s="226"/>
      <c r="AE144" s="227">
        <v>3067</v>
      </c>
      <c r="AF144" s="227">
        <v>1331.7614018422</v>
      </c>
      <c r="AG144" s="226" t="s">
        <v>155</v>
      </c>
      <c r="AH144" s="229">
        <v>0.71399999999999997</v>
      </c>
      <c r="AI144" s="225">
        <f t="shared" si="84"/>
        <v>950.87764091533074</v>
      </c>
      <c r="AJ144" s="226">
        <f t="shared" si="85"/>
        <v>-1.1230999944212651E-2</v>
      </c>
      <c r="AK144" s="226"/>
      <c r="AL144" s="226">
        <f t="shared" si="86"/>
        <v>181.69431961855551</v>
      </c>
      <c r="AM144" s="228">
        <f t="shared" si="87"/>
        <v>241973.48180197223</v>
      </c>
      <c r="AN144" s="226"/>
      <c r="AO144" s="227">
        <v>1.9589235127479001</v>
      </c>
      <c r="AP144" s="225"/>
      <c r="AQ144" s="226">
        <f t="shared" si="88"/>
        <v>2608.8187234387901</v>
      </c>
      <c r="AR144" s="226">
        <f t="shared" si="89"/>
        <v>2.7757560979379215E-3</v>
      </c>
      <c r="AS144" s="228">
        <f>AR144*'DADOS BASE'!W$38</f>
        <v>832656.79066396831</v>
      </c>
      <c r="AT144" s="225"/>
      <c r="AU144" s="227">
        <v>0</v>
      </c>
      <c r="AV144" s="227">
        <v>0</v>
      </c>
      <c r="AW144" s="226">
        <f t="shared" si="90"/>
        <v>0</v>
      </c>
      <c r="AX144" s="226">
        <f>IF($AW$11&gt;0,(AW144/$AW$11)*'DADOS BASE'!W$40,0)</f>
        <v>0</v>
      </c>
      <c r="AY144" s="226">
        <f t="shared" si="91"/>
        <v>0</v>
      </c>
      <c r="AZ144" s="226">
        <f t="shared" si="92"/>
        <v>0</v>
      </c>
      <c r="BA144" s="226">
        <f>AZ144*'DADOS BASE'!W$41</f>
        <v>0</v>
      </c>
      <c r="BB144" s="225"/>
      <c r="BC144" s="227">
        <v>0</v>
      </c>
      <c r="BD144" s="226">
        <f>IF($BC$11&gt;0,(BC144/$BC$11)*'DADOS BASE'!W$39,0)</f>
        <v>0</v>
      </c>
      <c r="BE144" s="187"/>
    </row>
    <row r="145" spans="2:57" x14ac:dyDescent="0.3">
      <c r="B145" s="184" t="s">
        <v>250</v>
      </c>
      <c r="C145" s="184" t="s">
        <v>280</v>
      </c>
      <c r="D145" s="184" t="s">
        <v>94</v>
      </c>
      <c r="E145" s="184">
        <v>2013</v>
      </c>
      <c r="F145" s="185"/>
      <c r="H145" s="186">
        <f ca="1">IF(AND(E145&gt;=2018,SUMIF('DADOS BASE'!$C$101:$D$104,D145,'DADOS BASE'!$H$101:$H$104)&gt;J145),
SUMIF('DADOS BASE'!$C$101:$D$104,D145,'DADOS BASE'!$H$101:$H$104),
J145)</f>
        <v>906587.37853515672</v>
      </c>
      <c r="J145" s="186">
        <f t="shared" si="81"/>
        <v>906587.37853515672</v>
      </c>
      <c r="K145" s="186"/>
      <c r="L145" s="188">
        <v>917.27990568195003</v>
      </c>
      <c r="M145" s="186">
        <f t="shared" si="82"/>
        <v>7.1561927218120522E-4</v>
      </c>
      <c r="N145" s="186">
        <f>L145*'DADOS BASE'!$I$29</f>
        <v>903278.66513583716</v>
      </c>
      <c r="O145" s="187"/>
      <c r="P145" s="188">
        <v>0</v>
      </c>
      <c r="Q145" s="186">
        <f>P145*'DADOS BASE'!$I$33</f>
        <v>0</v>
      </c>
      <c r="R145" s="186"/>
      <c r="S145" s="188">
        <v>4.2</v>
      </c>
      <c r="T145" s="186">
        <f>S145*'DADOS BASE'!$I$37</f>
        <v>3308.7133993195193</v>
      </c>
      <c r="U145" s="186"/>
      <c r="V145" s="186">
        <f t="shared" si="83"/>
        <v>3308.7133993195193</v>
      </c>
      <c r="W145" s="187"/>
      <c r="X145" s="186"/>
      <c r="Y145" s="186"/>
      <c r="Z145" s="185"/>
      <c r="AA145" s="186"/>
      <c r="AB145" s="186"/>
      <c r="AC145" s="186"/>
      <c r="AD145" s="186"/>
      <c r="AE145" s="188">
        <v>626</v>
      </c>
      <c r="AF145" s="188">
        <v>390.06355532647001</v>
      </c>
      <c r="AG145" s="186" t="s">
        <v>155</v>
      </c>
      <c r="AH145" s="189">
        <v>0.64500000000000002</v>
      </c>
      <c r="AI145" s="183">
        <f t="shared" si="84"/>
        <v>251.59099318557315</v>
      </c>
      <c r="AJ145" s="186">
        <f t="shared" si="85"/>
        <v>-0.10429779029671879</v>
      </c>
      <c r="AK145" s="186"/>
      <c r="AL145" s="186">
        <f t="shared" si="86"/>
        <v>198.41622307396204</v>
      </c>
      <c r="AM145" s="187">
        <f t="shared" si="87"/>
        <v>77394.937406679615</v>
      </c>
      <c r="AN145" s="186"/>
      <c r="AO145" s="188">
        <v>1.7702702702702999</v>
      </c>
      <c r="AQ145" s="186">
        <f t="shared" si="88"/>
        <v>690.51791551038411</v>
      </c>
      <c r="AR145" s="186">
        <f t="shared" si="89"/>
        <v>7.3470390927999729E-4</v>
      </c>
      <c r="AS145" s="187">
        <f>AR145*'DADOS BASE'!W$38</f>
        <v>220392.63451274441</v>
      </c>
      <c r="AU145" s="188">
        <v>4.2</v>
      </c>
      <c r="AV145" s="188">
        <v>10.75</v>
      </c>
      <c r="AW145" s="186">
        <f t="shared" si="90"/>
        <v>1.05</v>
      </c>
      <c r="AX145" s="186">
        <f>IF($AW$11&gt;0,(AW145/$AW$11)*'DADOS BASE'!W$40,0)</f>
        <v>188.66019298262034</v>
      </c>
      <c r="AY145" s="186">
        <f t="shared" si="91"/>
        <v>1.858783783783815</v>
      </c>
      <c r="AZ145" s="186">
        <f t="shared" si="92"/>
        <v>9.7214978296896286E-5</v>
      </c>
      <c r="BA145" s="186">
        <f>AZ145*'DADOS BASE'!W$41</f>
        <v>718.21004391415966</v>
      </c>
      <c r="BC145" s="188">
        <v>0</v>
      </c>
      <c r="BD145" s="186">
        <f>IF($BC$11&gt;0,(BC145/$BC$11)*'DADOS BASE'!W$39,0)</f>
        <v>0</v>
      </c>
      <c r="BE145" s="187"/>
    </row>
    <row r="146" spans="2:57" x14ac:dyDescent="0.3">
      <c r="B146" s="223" t="s">
        <v>250</v>
      </c>
      <c r="C146" s="223" t="s">
        <v>281</v>
      </c>
      <c r="D146" s="223" t="s">
        <v>94</v>
      </c>
      <c r="E146" s="223">
        <v>2013</v>
      </c>
      <c r="F146" s="224"/>
      <c r="G146" s="225"/>
      <c r="H146" s="226">
        <f ca="1">IF(AND(E146&gt;=2018,SUMIF('DADOS BASE'!$C$101:$D$104,D146,'DADOS BASE'!$H$101:$H$104)&gt;J146),
SUMIF('DADOS BASE'!$C$101:$D$104,D146,'DADOS BASE'!$H$101:$H$104),
J146)</f>
        <v>991839.179233414</v>
      </c>
      <c r="I146" s="225"/>
      <c r="J146" s="226">
        <f t="shared" si="81"/>
        <v>991839.179233414</v>
      </c>
      <c r="K146" s="226"/>
      <c r="L146" s="227">
        <v>1007.2131490475</v>
      </c>
      <c r="M146" s="226">
        <f t="shared" si="82"/>
        <v>7.8578102080721841E-4</v>
      </c>
      <c r="N146" s="226">
        <f>L146*'DADOS BASE'!$I$29</f>
        <v>991839.179233414</v>
      </c>
      <c r="O146" s="228"/>
      <c r="P146" s="227">
        <v>0</v>
      </c>
      <c r="Q146" s="226">
        <f>P146*'DADOS BASE'!$I$33</f>
        <v>0</v>
      </c>
      <c r="R146" s="226"/>
      <c r="S146" s="227">
        <v>0</v>
      </c>
      <c r="T146" s="226">
        <f>S146*'DADOS BASE'!$I$37</f>
        <v>0</v>
      </c>
      <c r="U146" s="226"/>
      <c r="V146" s="226">
        <f t="shared" si="83"/>
        <v>0</v>
      </c>
      <c r="W146" s="228"/>
      <c r="X146" s="226"/>
      <c r="Y146" s="226"/>
      <c r="Z146" s="224"/>
      <c r="AA146" s="226"/>
      <c r="AB146" s="226"/>
      <c r="AC146" s="226"/>
      <c r="AD146" s="226"/>
      <c r="AE146" s="227">
        <v>541</v>
      </c>
      <c r="AF146" s="227">
        <v>399.35072259663002</v>
      </c>
      <c r="AG146" s="226" t="s">
        <v>155</v>
      </c>
      <c r="AH146" s="229">
        <v>0.63300000000000001</v>
      </c>
      <c r="AI146" s="225">
        <f t="shared" si="84"/>
        <v>252.7890074036668</v>
      </c>
      <c r="AJ146" s="226">
        <f t="shared" si="85"/>
        <v>-0.1204833190536764</v>
      </c>
      <c r="AK146" s="226"/>
      <c r="AL146" s="226">
        <f t="shared" si="86"/>
        <v>201.32438019664144</v>
      </c>
      <c r="AM146" s="228">
        <f t="shared" si="87"/>
        <v>80399.036707847437</v>
      </c>
      <c r="AN146" s="226"/>
      <c r="AO146" s="227">
        <v>2.2271784232364999</v>
      </c>
      <c r="AP146" s="225"/>
      <c r="AQ146" s="226">
        <f t="shared" si="88"/>
        <v>889.42531267111929</v>
      </c>
      <c r="AR146" s="226">
        <f t="shared" si="89"/>
        <v>9.4633931944989246E-4</v>
      </c>
      <c r="AS146" s="228">
        <f>AR146*'DADOS BASE'!W$38</f>
        <v>283877.9175150331</v>
      </c>
      <c r="AT146" s="225"/>
      <c r="AU146" s="227">
        <v>0</v>
      </c>
      <c r="AV146" s="227">
        <v>0</v>
      </c>
      <c r="AW146" s="226">
        <f t="shared" si="90"/>
        <v>0</v>
      </c>
      <c r="AX146" s="226">
        <f>IF($AW$11&gt;0,(AW146/$AW$11)*'DADOS BASE'!W$40,0)</f>
        <v>0</v>
      </c>
      <c r="AY146" s="226">
        <f t="shared" si="91"/>
        <v>0</v>
      </c>
      <c r="AZ146" s="226">
        <f t="shared" si="92"/>
        <v>0</v>
      </c>
      <c r="BA146" s="226">
        <f>AZ146*'DADOS BASE'!W$41</f>
        <v>0</v>
      </c>
      <c r="BB146" s="225"/>
      <c r="BC146" s="227">
        <v>0</v>
      </c>
      <c r="BD146" s="226">
        <f>IF($BC$11&gt;0,(BC146/$BC$11)*'DADOS BASE'!W$39,0)</f>
        <v>0</v>
      </c>
      <c r="BE146" s="187"/>
    </row>
    <row r="147" spans="2:57" x14ac:dyDescent="0.3">
      <c r="B147" s="184" t="s">
        <v>250</v>
      </c>
      <c r="C147" s="184" t="s">
        <v>282</v>
      </c>
      <c r="D147" s="184" t="s">
        <v>94</v>
      </c>
      <c r="E147" s="184">
        <v>2013</v>
      </c>
      <c r="F147" s="185"/>
      <c r="H147" s="186">
        <f ca="1">IF(AND(E147&gt;=2018,SUMIF('DADOS BASE'!$C$101:$D$104,D147,'DADOS BASE'!$H$101:$H$104)&gt;J147),
SUMIF('DADOS BASE'!$C$101:$D$104,D147,'DADOS BASE'!$H$101:$H$104),
J147)</f>
        <v>1641321.7198394292</v>
      </c>
      <c r="J147" s="186">
        <f t="shared" si="81"/>
        <v>1641321.7198394292</v>
      </c>
      <c r="K147" s="186"/>
      <c r="L147" s="188">
        <v>1665.1629719136999</v>
      </c>
      <c r="M147" s="186">
        <f t="shared" si="82"/>
        <v>1.2990829807157554E-3</v>
      </c>
      <c r="N147" s="186">
        <f>L147*'DADOS BASE'!$I$29</f>
        <v>1639746.1420302296</v>
      </c>
      <c r="O147" s="187"/>
      <c r="P147" s="188">
        <v>0</v>
      </c>
      <c r="Q147" s="186">
        <f>P147*'DADOS BASE'!$I$33</f>
        <v>0</v>
      </c>
      <c r="R147" s="186"/>
      <c r="S147" s="188">
        <v>2</v>
      </c>
      <c r="T147" s="186">
        <f>S147*'DADOS BASE'!$I$37</f>
        <v>1575.5778091997711</v>
      </c>
      <c r="U147" s="186"/>
      <c r="V147" s="186">
        <f t="shared" si="83"/>
        <v>1575.5778091997711</v>
      </c>
      <c r="W147" s="187"/>
      <c r="X147" s="186"/>
      <c r="Y147" s="186"/>
      <c r="Z147" s="185"/>
      <c r="AA147" s="186"/>
      <c r="AB147" s="186"/>
      <c r="AC147" s="186"/>
      <c r="AD147" s="186"/>
      <c r="AE147" s="188">
        <v>1125</v>
      </c>
      <c r="AF147" s="188">
        <v>759.73436936118003</v>
      </c>
      <c r="AG147" s="186" t="s">
        <v>155</v>
      </c>
      <c r="AH147" s="189">
        <v>0.65700000000000003</v>
      </c>
      <c r="AI147" s="183">
        <f t="shared" si="84"/>
        <v>499.14548067029529</v>
      </c>
      <c r="AJ147" s="186">
        <f t="shared" si="85"/>
        <v>-8.8112261539761177E-2</v>
      </c>
      <c r="AK147" s="186"/>
      <c r="AL147" s="186">
        <f t="shared" si="86"/>
        <v>195.50806595128265</v>
      </c>
      <c r="AM147" s="187">
        <f t="shared" si="87"/>
        <v>148534.19719052172</v>
      </c>
      <c r="AN147" s="186"/>
      <c r="AO147" s="188">
        <v>1.9050218340611</v>
      </c>
      <c r="AQ147" s="186">
        <f t="shared" si="88"/>
        <v>1447.3105617196884</v>
      </c>
      <c r="AR147" s="186">
        <f t="shared" si="89"/>
        <v>1.5399234455079002E-3</v>
      </c>
      <c r="AS147" s="187">
        <f>AR147*'DADOS BASE'!W$38</f>
        <v>461938.17783823342</v>
      </c>
      <c r="AU147" s="188">
        <v>2</v>
      </c>
      <c r="AV147" s="188">
        <v>8.5</v>
      </c>
      <c r="AW147" s="186">
        <f t="shared" si="90"/>
        <v>0.5</v>
      </c>
      <c r="AX147" s="186">
        <f>IF($AW$11&gt;0,(AW147/$AW$11)*'DADOS BASE'!W$40,0)</f>
        <v>89.838187134581105</v>
      </c>
      <c r="AY147" s="186">
        <f t="shared" si="91"/>
        <v>0.95251091703055002</v>
      </c>
      <c r="AZ147" s="186">
        <f t="shared" si="92"/>
        <v>4.9816621456738133E-5</v>
      </c>
      <c r="BA147" s="186">
        <f>AZ147*'DADOS BASE'!W$41</f>
        <v>368.03791463934573</v>
      </c>
      <c r="BC147" s="188">
        <v>0</v>
      </c>
      <c r="BD147" s="186">
        <f>IF($BC$11&gt;0,(BC147/$BC$11)*'DADOS BASE'!W$39,0)</f>
        <v>0</v>
      </c>
      <c r="BE147" s="187"/>
    </row>
    <row r="148" spans="2:57" x14ac:dyDescent="0.3">
      <c r="B148" s="223" t="s">
        <v>250</v>
      </c>
      <c r="C148" s="223" t="s">
        <v>283</v>
      </c>
      <c r="D148" s="223" t="s">
        <v>94</v>
      </c>
      <c r="E148" s="223">
        <v>2013</v>
      </c>
      <c r="F148" s="224"/>
      <c r="G148" s="225"/>
      <c r="H148" s="226">
        <f ca="1">IF(AND(E148&gt;=2018,SUMIF('DADOS BASE'!$C$101:$D$104,D148,'DADOS BASE'!$H$101:$H$104)&gt;J148),
SUMIF('DADOS BASE'!$C$101:$D$104,D148,'DADOS BASE'!$H$101:$H$104),
J148)</f>
        <v>1611765.2647011459</v>
      </c>
      <c r="I148" s="225"/>
      <c r="J148" s="226">
        <f t="shared" si="81"/>
        <v>1611765.2647011459</v>
      </c>
      <c r="K148" s="226"/>
      <c r="L148" s="227">
        <v>1620.9764866537</v>
      </c>
      <c r="M148" s="226">
        <f t="shared" si="82"/>
        <v>1.2646107326853154E-3</v>
      </c>
      <c r="N148" s="226">
        <f>L148*'DADOS BASE'!$I$29</f>
        <v>1596234.1135038617</v>
      </c>
      <c r="O148" s="228"/>
      <c r="P148" s="227">
        <v>0</v>
      </c>
      <c r="Q148" s="226">
        <f>P148*'DADOS BASE'!$I$33</f>
        <v>0</v>
      </c>
      <c r="R148" s="226"/>
      <c r="S148" s="227">
        <v>19.714864104581999</v>
      </c>
      <c r="T148" s="226">
        <f>S148*'DADOS BASE'!$I$37</f>
        <v>15531.151197284256</v>
      </c>
      <c r="U148" s="226"/>
      <c r="V148" s="226">
        <f t="shared" si="83"/>
        <v>15531.151197284256</v>
      </c>
      <c r="W148" s="228"/>
      <c r="X148" s="226"/>
      <c r="Y148" s="226"/>
      <c r="Z148" s="224"/>
      <c r="AA148" s="226"/>
      <c r="AB148" s="226"/>
      <c r="AC148" s="226"/>
      <c r="AD148" s="226"/>
      <c r="AE148" s="227">
        <v>1082</v>
      </c>
      <c r="AF148" s="227">
        <v>570.81257320868997</v>
      </c>
      <c r="AG148" s="226" t="s">
        <v>155</v>
      </c>
      <c r="AH148" s="229">
        <v>0.64800000000000002</v>
      </c>
      <c r="AI148" s="225">
        <f t="shared" si="84"/>
        <v>369.88654743923109</v>
      </c>
      <c r="AJ148" s="226">
        <f t="shared" si="85"/>
        <v>-0.10025140810747939</v>
      </c>
      <c r="AK148" s="226"/>
      <c r="AL148" s="226">
        <f t="shared" si="86"/>
        <v>197.68918379329219</v>
      </c>
      <c r="AM148" s="228">
        <f t="shared" si="87"/>
        <v>112843.47169657476</v>
      </c>
      <c r="AN148" s="226"/>
      <c r="AO148" s="227">
        <v>1.8114754098360999</v>
      </c>
      <c r="AP148" s="225"/>
      <c r="AQ148" s="226">
        <f t="shared" si="88"/>
        <v>1034.0129399928105</v>
      </c>
      <c r="AR148" s="226">
        <f t="shared" si="89"/>
        <v>1.1001790571897141E-3</v>
      </c>
      <c r="AS148" s="228">
        <f>AR148*'DADOS BASE'!W$38</f>
        <v>330025.95710618712</v>
      </c>
      <c r="AT148" s="225"/>
      <c r="AU148" s="227">
        <v>19.714864104581999</v>
      </c>
      <c r="AV148" s="227">
        <v>90.75</v>
      </c>
      <c r="AW148" s="226">
        <f t="shared" si="90"/>
        <v>4.9287160261454996</v>
      </c>
      <c r="AX148" s="226">
        <f>IF($AW$11&gt;0,(AW148/$AW$11)*'DADOS BASE'!W$40,0)</f>
        <v>885.57382538013655</v>
      </c>
      <c r="AY148" s="226">
        <f t="shared" si="91"/>
        <v>8.9282478834276731</v>
      </c>
      <c r="AZ148" s="226">
        <f t="shared" si="92"/>
        <v>4.6695018096719044E-4</v>
      </c>
      <c r="BA148" s="226">
        <f>AZ148*'DADOS BASE'!W$41</f>
        <v>3449.7596548748879</v>
      </c>
      <c r="BB148" s="225"/>
      <c r="BC148" s="227">
        <v>0</v>
      </c>
      <c r="BD148" s="226">
        <f>IF($BC$11&gt;0,(BC148/$BC$11)*'DADOS BASE'!W$39,0)</f>
        <v>0</v>
      </c>
      <c r="BE148" s="187"/>
    </row>
    <row r="149" spans="2:57" x14ac:dyDescent="0.3">
      <c r="B149" s="184" t="s">
        <v>250</v>
      </c>
      <c r="C149" s="184" t="s">
        <v>284</v>
      </c>
      <c r="D149" s="184" t="s">
        <v>92</v>
      </c>
      <c r="E149" s="184">
        <v>2013</v>
      </c>
      <c r="F149" s="185"/>
      <c r="H149" s="186">
        <f ca="1">IF(AND(E149&gt;=2018,SUMIF('DADOS BASE'!$C$101:$D$104,D149,'DADOS BASE'!$H$101:$H$104)&gt;J149),
SUMIF('DADOS BASE'!$C$101:$D$104,D149,'DADOS BASE'!$H$101:$H$104),
J149)</f>
        <v>1548566.0685952422</v>
      </c>
      <c r="J149" s="186">
        <f t="shared" si="81"/>
        <v>1548566.0685952422</v>
      </c>
      <c r="K149" s="186"/>
      <c r="L149" s="188">
        <v>1571.3495648194</v>
      </c>
      <c r="M149" s="186">
        <f t="shared" si="82"/>
        <v>1.2258941081700835E-3</v>
      </c>
      <c r="N149" s="186">
        <f>L149*'DADOS BASE'!$I$29</f>
        <v>1547364.6905157275</v>
      </c>
      <c r="O149" s="187"/>
      <c r="P149" s="188">
        <v>0</v>
      </c>
      <c r="Q149" s="186">
        <f>P149*'DADOS BASE'!$I$33</f>
        <v>0</v>
      </c>
      <c r="R149" s="186"/>
      <c r="S149" s="188">
        <v>1.5249999999999999</v>
      </c>
      <c r="T149" s="186">
        <f>S149*'DADOS BASE'!$I$37</f>
        <v>1201.3780795148255</v>
      </c>
      <c r="U149" s="186"/>
      <c r="V149" s="186">
        <f t="shared" si="83"/>
        <v>1201.3780795148255</v>
      </c>
      <c r="W149" s="187"/>
      <c r="X149" s="186"/>
      <c r="Y149" s="186"/>
      <c r="Z149" s="185"/>
      <c r="AA149" s="186"/>
      <c r="AB149" s="186"/>
      <c r="AC149" s="186"/>
      <c r="AD149" s="186"/>
      <c r="AE149" s="188">
        <v>673</v>
      </c>
      <c r="AF149" s="188">
        <v>610.90801228598002</v>
      </c>
      <c r="AG149" s="186" t="s">
        <v>155</v>
      </c>
      <c r="AH149" s="189">
        <v>0.58699999999999997</v>
      </c>
      <c r="AI149" s="183">
        <f t="shared" si="84"/>
        <v>358.60300321187026</v>
      </c>
      <c r="AJ149" s="186">
        <f t="shared" si="85"/>
        <v>-0.18252784595534727</v>
      </c>
      <c r="AK149" s="186"/>
      <c r="AL149" s="186">
        <f t="shared" si="86"/>
        <v>212.47231583357916</v>
      </c>
      <c r="AM149" s="187">
        <f t="shared" si="87"/>
        <v>129801.04013169081</v>
      </c>
      <c r="AN149" s="186"/>
      <c r="AO149" s="188">
        <v>1.8333333333333</v>
      </c>
      <c r="AQ149" s="186">
        <f t="shared" si="88"/>
        <v>1119.9980225242764</v>
      </c>
      <c r="AR149" s="186">
        <f t="shared" si="89"/>
        <v>1.191666294315108E-3</v>
      </c>
      <c r="AS149" s="187">
        <f>AR149*'DADOS BASE'!W$38</f>
        <v>357469.81981016725</v>
      </c>
      <c r="AU149" s="188">
        <v>1.5249999999999999</v>
      </c>
      <c r="AV149" s="188">
        <v>6</v>
      </c>
      <c r="AW149" s="186">
        <f t="shared" si="90"/>
        <v>0.38124999999999998</v>
      </c>
      <c r="AX149" s="186">
        <f>IF($AW$11&gt;0,(AW149/$AW$11)*'DADOS BASE'!W$40,0)</f>
        <v>68.501617690118081</v>
      </c>
      <c r="AY149" s="186">
        <f t="shared" si="91"/>
        <v>0.69895833333332058</v>
      </c>
      <c r="AZ149" s="186">
        <f t="shared" si="92"/>
        <v>3.655574133916393E-5</v>
      </c>
      <c r="BA149" s="186">
        <f>AZ149*'DADOS BASE'!W$41</f>
        <v>270.0684714688025</v>
      </c>
      <c r="BC149" s="188">
        <v>0</v>
      </c>
      <c r="BD149" s="186">
        <f>IF($BC$11&gt;0,(BC149/$BC$11)*'DADOS BASE'!W$39,0)</f>
        <v>0</v>
      </c>
      <c r="BE149" s="187"/>
    </row>
    <row r="150" spans="2:57" x14ac:dyDescent="0.3">
      <c r="F150" s="185"/>
      <c r="H150" s="186"/>
      <c r="J150" s="186"/>
      <c r="K150" s="186"/>
      <c r="L150" s="186"/>
      <c r="M150" s="186"/>
      <c r="N150" s="186"/>
      <c r="O150" s="187"/>
      <c r="P150" s="186"/>
      <c r="Q150" s="186"/>
      <c r="R150" s="186"/>
      <c r="S150" s="186"/>
      <c r="T150" s="186"/>
      <c r="U150" s="186"/>
      <c r="V150" s="186"/>
      <c r="W150" s="187"/>
      <c r="X150" s="186"/>
      <c r="Y150" s="186"/>
      <c r="Z150" s="185"/>
      <c r="AA150" s="186"/>
      <c r="AB150" s="186"/>
      <c r="AC150" s="186"/>
      <c r="AD150" s="186"/>
      <c r="AE150" s="186"/>
      <c r="AF150" s="186"/>
      <c r="AG150" s="186"/>
      <c r="AH150" s="185"/>
      <c r="AJ150" s="186"/>
      <c r="AK150" s="186"/>
      <c r="AL150" s="186"/>
      <c r="AM150" s="187"/>
      <c r="AN150" s="186"/>
      <c r="AO150" s="186"/>
      <c r="AQ150" s="186"/>
      <c r="AR150" s="186"/>
      <c r="AS150" s="187"/>
      <c r="AU150" s="186"/>
      <c r="AV150" s="186"/>
      <c r="AW150" s="186"/>
      <c r="AX150" s="186"/>
      <c r="AY150" s="186"/>
      <c r="AZ150" s="186"/>
      <c r="BA150" s="186"/>
      <c r="BC150" s="186"/>
      <c r="BD150" s="186"/>
      <c r="BE150" s="187"/>
    </row>
    <row r="151" spans="2:57" x14ac:dyDescent="0.3">
      <c r="B151" s="209" t="s">
        <v>285</v>
      </c>
      <c r="C151" s="209" t="s">
        <v>286</v>
      </c>
      <c r="D151" s="211" t="s">
        <v>154</v>
      </c>
      <c r="E151" s="211"/>
      <c r="F151" s="210"/>
      <c r="G151" s="211"/>
      <c r="H151" s="212">
        <f ca="1">SUM(H152:H162)</f>
        <v>22837318.171459116</v>
      </c>
      <c r="I151" s="211"/>
      <c r="J151" s="212">
        <f>SUM(J152:J162)</f>
        <v>22837318.171459116</v>
      </c>
      <c r="K151" s="212"/>
      <c r="L151" s="212">
        <f>SUM(L152:L162)</f>
        <v>22719.584329638201</v>
      </c>
      <c r="M151" s="212">
        <f>SUM(M152:M162)</f>
        <v>1.7724766782226412E-2</v>
      </c>
      <c r="N151" s="212">
        <f>SUM(N152:N162)</f>
        <v>22372795.565013003</v>
      </c>
      <c r="O151" s="214"/>
      <c r="P151" s="212">
        <f>SUM(P152:P162)</f>
        <v>0</v>
      </c>
      <c r="Q151" s="212">
        <f>SUM(Q152:Q162)</f>
        <v>0</v>
      </c>
      <c r="R151" s="212"/>
      <c r="S151" s="212">
        <f>SUM(S152:S162)</f>
        <v>589.65365434036016</v>
      </c>
      <c r="T151" s="212">
        <f>SUM(T152:T162)</f>
        <v>464522.60644611181</v>
      </c>
      <c r="U151" s="212"/>
      <c r="V151" s="212">
        <f>SUM(V152:V162)</f>
        <v>464522.60644611181</v>
      </c>
      <c r="W151" s="214"/>
      <c r="X151" s="212">
        <f>SUMIF(INDICADORES!$D$13:$D$53,C151,INDICADORES!$L$13:$L$53)</f>
        <v>7.0822832545390998E-3</v>
      </c>
      <c r="Y151" s="212">
        <f>X151*'DADOS BASE'!$I$79</f>
        <v>294079.18112626701</v>
      </c>
      <c r="Z151" s="210">
        <f>SUMIF(INDICADORES!$D$13:$D$53,C151,INDICADORES!$R$13:$R$53)</f>
        <v>3.846925325233537E-2</v>
      </c>
      <c r="AA151" s="212">
        <f>Z151*'DADOS BASE'!$I$84</f>
        <v>1597367.1326595361</v>
      </c>
      <c r="AB151" s="212">
        <f>SUMIF(INDICADORES!$D$13:$D$53,C151,INDICADORES!$Z$13:$Z$53)</f>
        <v>2.3332632115745228E-2</v>
      </c>
      <c r="AC151" s="212">
        <f>AB151*'DADOS BASE'!$I$89</f>
        <v>1937691.8712538381</v>
      </c>
      <c r="AD151" s="212"/>
      <c r="AE151" s="212">
        <f>SUM(AE152:AE162)</f>
        <v>17693</v>
      </c>
      <c r="AF151" s="212">
        <f>SUM(AF152:AF162)</f>
        <v>10917.649887558653</v>
      </c>
      <c r="AG151" s="212" t="s">
        <v>155</v>
      </c>
      <c r="AH151" s="210"/>
      <c r="AI151" s="211"/>
      <c r="AJ151" s="212"/>
      <c r="AK151" s="212"/>
      <c r="AL151" s="212"/>
      <c r="AM151" s="214">
        <f>SUM(AM152:AM162)</f>
        <v>1692631.0897221845</v>
      </c>
      <c r="AN151" s="212"/>
      <c r="AO151" s="212"/>
      <c r="AP151" s="211"/>
      <c r="AQ151" s="212">
        <f>SUM(AQ152:AQ162)</f>
        <v>15266.461663476271</v>
      </c>
      <c r="AR151" s="212"/>
      <c r="AS151" s="214">
        <f>SUM(AS152:AS162)</f>
        <v>4872597.2637718655</v>
      </c>
      <c r="AT151" s="211"/>
      <c r="AU151" s="212">
        <f t="shared" ref="AU151:BA151" si="93">SUM(AU152:AU162)</f>
        <v>309.17122852141102</v>
      </c>
      <c r="AV151" s="212">
        <f t="shared" si="93"/>
        <v>413.5</v>
      </c>
      <c r="AW151" s="212">
        <f t="shared" si="93"/>
        <v>77.292807130352756</v>
      </c>
      <c r="AX151" s="212">
        <f t="shared" si="93"/>
        <v>13887.69134226743</v>
      </c>
      <c r="AY151" s="212">
        <f t="shared" si="93"/>
        <v>121.50030698913069</v>
      </c>
      <c r="AZ151" s="212">
        <f t="shared" si="93"/>
        <v>6.3545043861800363E-3</v>
      </c>
      <c r="BA151" s="212">
        <f t="shared" si="93"/>
        <v>46946.149186115603</v>
      </c>
      <c r="BB151" s="211"/>
      <c r="BC151" s="212">
        <f>SUM(BC152:BC162)</f>
        <v>151</v>
      </c>
      <c r="BD151" s="212">
        <f>SUM(BD152:BD162)</f>
        <v>815883.8058896123</v>
      </c>
      <c r="BE151" s="187"/>
    </row>
    <row r="152" spans="2:57" x14ac:dyDescent="0.3">
      <c r="B152" s="216" t="s">
        <v>285</v>
      </c>
      <c r="C152" s="218" t="s">
        <v>156</v>
      </c>
      <c r="D152" s="218" t="s">
        <v>157</v>
      </c>
      <c r="E152" s="218"/>
      <c r="F152" s="217"/>
      <c r="G152" s="218"/>
      <c r="H152" s="219"/>
      <c r="I152" s="218"/>
      <c r="J152" s="219"/>
      <c r="K152" s="219"/>
      <c r="L152" s="219">
        <v>0</v>
      </c>
      <c r="M152" s="219">
        <v>0</v>
      </c>
      <c r="N152" s="219">
        <v>0</v>
      </c>
      <c r="O152" s="221"/>
      <c r="P152" s="219"/>
      <c r="Q152" s="219"/>
      <c r="R152" s="219"/>
      <c r="S152" s="219"/>
      <c r="T152" s="219"/>
      <c r="U152" s="219"/>
      <c r="V152" s="219"/>
      <c r="W152" s="221"/>
      <c r="X152" s="219"/>
      <c r="Y152" s="219"/>
      <c r="Z152" s="217"/>
      <c r="AA152" s="219"/>
      <c r="AB152" s="219"/>
      <c r="AC152" s="219"/>
      <c r="AD152" s="219"/>
      <c r="AE152" s="219"/>
      <c r="AF152" s="219"/>
      <c r="AG152" s="219" t="s">
        <v>155</v>
      </c>
      <c r="AH152" s="217"/>
      <c r="AI152" s="218"/>
      <c r="AJ152" s="219"/>
      <c r="AK152" s="219"/>
      <c r="AL152" s="219"/>
      <c r="AM152" s="221"/>
      <c r="AN152" s="219"/>
      <c r="AO152" s="219"/>
      <c r="AP152" s="218"/>
      <c r="AQ152" s="219"/>
      <c r="AR152" s="219"/>
      <c r="AS152" s="221"/>
      <c r="AT152" s="218"/>
      <c r="AU152" s="219"/>
      <c r="AV152" s="219"/>
      <c r="AW152" s="219"/>
      <c r="AX152" s="219"/>
      <c r="AY152" s="219"/>
      <c r="AZ152" s="219"/>
      <c r="BA152" s="219"/>
      <c r="BB152" s="218"/>
      <c r="BC152" s="219"/>
      <c r="BD152" s="219"/>
      <c r="BE152" s="187"/>
    </row>
    <row r="153" spans="2:57" x14ac:dyDescent="0.3">
      <c r="B153" s="184" t="s">
        <v>285</v>
      </c>
      <c r="C153" s="184" t="s">
        <v>287</v>
      </c>
      <c r="D153" s="184" t="s">
        <v>94</v>
      </c>
      <c r="E153" s="184">
        <v>2010</v>
      </c>
      <c r="F153" s="185"/>
      <c r="H153" s="186">
        <f ca="1">IF(AND(E153&gt;=2018,SUMIF('DADOS BASE'!$C$101:$D$104,D153,'DADOS BASE'!$H$101:$H$104)&gt;J153),
SUMIF('DADOS BASE'!$C$101:$D$104,D153,'DADOS BASE'!$H$101:$H$104),
J153)</f>
        <v>3476534.6878477093</v>
      </c>
      <c r="J153" s="186">
        <f t="shared" ref="J153:J162" si="94">N153+Q153+T153</f>
        <v>3476534.6878477093</v>
      </c>
      <c r="K153" s="186"/>
      <c r="L153" s="188">
        <v>3521.3628371996001</v>
      </c>
      <c r="M153" s="186">
        <f t="shared" ref="M153:M162" si="95">L153/$L$11</f>
        <v>2.7472040922658886E-3</v>
      </c>
      <c r="N153" s="186">
        <f>L153*'DADOS BASE'!$I$29</f>
        <v>3467613.2152702725</v>
      </c>
      <c r="O153" s="187"/>
      <c r="P153" s="188">
        <v>0</v>
      </c>
      <c r="Q153" s="186">
        <f>P153*'DADOS BASE'!$I$33</f>
        <v>0</v>
      </c>
      <c r="R153" s="186"/>
      <c r="S153" s="188">
        <v>11.324699453552</v>
      </c>
      <c r="T153" s="186">
        <f>S153*'DADOS BASE'!$I$37</f>
        <v>8921.4725774366525</v>
      </c>
      <c r="U153" s="186"/>
      <c r="V153" s="186">
        <f t="shared" ref="V153:V162" si="96">T153+Q153</f>
        <v>8921.4725774366525</v>
      </c>
      <c r="W153" s="187"/>
      <c r="X153" s="186"/>
      <c r="Y153" s="186"/>
      <c r="Z153" s="185"/>
      <c r="AA153" s="186"/>
      <c r="AB153" s="186"/>
      <c r="AC153" s="186"/>
      <c r="AD153" s="186"/>
      <c r="AE153" s="188">
        <v>4914</v>
      </c>
      <c r="AF153" s="188">
        <v>2759.8961447617999</v>
      </c>
      <c r="AG153" s="186" t="s">
        <v>155</v>
      </c>
      <c r="AH153" s="189">
        <v>0.82399999999999995</v>
      </c>
      <c r="AI153" s="183">
        <f t="shared" ref="AI153:AI162" si="97">AF153*AH153</f>
        <v>2274.1544232837227</v>
      </c>
      <c r="AJ153" s="186">
        <f t="shared" ref="AJ153:AJ162" si="98">(AH153-$AI$12)*$AJ$12</f>
        <v>0.13713634699456534</v>
      </c>
      <c r="AK153" s="186"/>
      <c r="AL153" s="186">
        <f t="shared" ref="AL153:AL162" si="99">$AL$11-(AJ153*$AL$11)</f>
        <v>155.03621266066099</v>
      </c>
      <c r="AM153" s="187">
        <f t="shared" ref="AM153:AM162" si="100">AF153*AL153</f>
        <v>427883.8456206288</v>
      </c>
      <c r="AN153" s="186"/>
      <c r="AO153" s="188">
        <v>1.2117913343393001</v>
      </c>
      <c r="AQ153" s="186">
        <f t="shared" ref="AQ153:AQ162" si="101">AF153*AO153</f>
        <v>3344.4182318987914</v>
      </c>
      <c r="AR153" s="186">
        <f t="shared" ref="AR153:AR162" si="102">AQ153/$AQ$11</f>
        <v>3.5584263551325444E-3</v>
      </c>
      <c r="AS153" s="187">
        <f>AR153*'DADOS BASE'!W$38</f>
        <v>1067438.1192497022</v>
      </c>
      <c r="AU153" s="188">
        <v>11.324699453552</v>
      </c>
      <c r="AV153" s="188">
        <v>61.5</v>
      </c>
      <c r="AW153" s="186">
        <f t="shared" ref="AW153:AW162" si="103">AU153/4</f>
        <v>2.8311748633880001</v>
      </c>
      <c r="AX153" s="186">
        <f>IF($AW$11&gt;0,(AW153/$AW$11)*'DADOS BASE'!W$40,0)</f>
        <v>508.69523437554648</v>
      </c>
      <c r="AY153" s="186">
        <f t="shared" ref="AY153:AY162" si="104">AO153*AW153</f>
        <v>3.4307931654528301</v>
      </c>
      <c r="AZ153" s="186">
        <f t="shared" ref="AZ153:AZ162" si="105">IF($AY$11&gt;0,AY153/$AY$11,0)</f>
        <v>1.7943156489223352E-4</v>
      </c>
      <c r="BA153" s="186">
        <f>AZ153*'DADOS BASE'!W$41</f>
        <v>1325.614163151562</v>
      </c>
      <c r="BC153" s="188">
        <v>0</v>
      </c>
      <c r="BD153" s="186">
        <f>IF($BC$11&gt;0,(BC153/$BC$11)*'DADOS BASE'!W$39,0)</f>
        <v>0</v>
      </c>
      <c r="BE153" s="187"/>
    </row>
    <row r="154" spans="2:57" x14ac:dyDescent="0.3">
      <c r="B154" s="223" t="s">
        <v>285</v>
      </c>
      <c r="C154" s="223" t="s">
        <v>288</v>
      </c>
      <c r="D154" s="223" t="s">
        <v>94</v>
      </c>
      <c r="E154" s="223">
        <v>2015</v>
      </c>
      <c r="F154" s="224"/>
      <c r="G154" s="225"/>
      <c r="H154" s="226">
        <f ca="1">IF(AND(E154&gt;=2018,SUMIF('DADOS BASE'!$C$101:$D$104,D154,'DADOS BASE'!$H$101:$H$104)&gt;J154),
SUMIF('DADOS BASE'!$C$101:$D$104,D154,'DADOS BASE'!$H$101:$H$104),
J154)</f>
        <v>2394513.1399288606</v>
      </c>
      <c r="I154" s="225"/>
      <c r="J154" s="226">
        <f t="shared" si="94"/>
        <v>2394513.1399288606</v>
      </c>
      <c r="K154" s="226"/>
      <c r="L154" s="227">
        <v>2068.0888648545001</v>
      </c>
      <c r="M154" s="226">
        <f t="shared" si="95"/>
        <v>1.6134270892732088E-3</v>
      </c>
      <c r="N154" s="226">
        <f>L154*'DADOS BASE'!$I$29</f>
        <v>2036521.8268236842</v>
      </c>
      <c r="O154" s="228"/>
      <c r="P154" s="227">
        <v>0</v>
      </c>
      <c r="Q154" s="226">
        <f>P154*'DADOS BASE'!$I$33</f>
        <v>0</v>
      </c>
      <c r="R154" s="226"/>
      <c r="S154" s="227">
        <v>454.42543175573002</v>
      </c>
      <c r="T154" s="226">
        <f>S154*'DADOS BASE'!$I$37</f>
        <v>357991.31310517661</v>
      </c>
      <c r="U154" s="226"/>
      <c r="V154" s="226">
        <f t="shared" si="96"/>
        <v>357991.31310517661</v>
      </c>
      <c r="W154" s="228"/>
      <c r="X154" s="226"/>
      <c r="Y154" s="226"/>
      <c r="Z154" s="224"/>
      <c r="AA154" s="226"/>
      <c r="AB154" s="226"/>
      <c r="AC154" s="226"/>
      <c r="AD154" s="226"/>
      <c r="AE154" s="227">
        <v>1332</v>
      </c>
      <c r="AF154" s="227">
        <v>871.56442109839998</v>
      </c>
      <c r="AG154" s="226" t="s">
        <v>155</v>
      </c>
      <c r="AH154" s="229">
        <v>0.82399999999999995</v>
      </c>
      <c r="AI154" s="225">
        <f t="shared" si="97"/>
        <v>718.16908298508156</v>
      </c>
      <c r="AJ154" s="226">
        <f t="shared" si="98"/>
        <v>0.13713634699456534</v>
      </c>
      <c r="AK154" s="226"/>
      <c r="AL154" s="226">
        <f t="shared" si="99"/>
        <v>155.03621266066099</v>
      </c>
      <c r="AM154" s="228">
        <f t="shared" si="100"/>
        <v>135124.04693687742</v>
      </c>
      <c r="AN154" s="226"/>
      <c r="AO154" s="227">
        <v>1.6019362186788</v>
      </c>
      <c r="AP154" s="225"/>
      <c r="AQ154" s="226">
        <f t="shared" si="101"/>
        <v>1396.1906130693483</v>
      </c>
      <c r="AR154" s="226">
        <f t="shared" si="102"/>
        <v>1.4855323496768278E-3</v>
      </c>
      <c r="AS154" s="228">
        <f>AR154*'DADOS BASE'!W$38</f>
        <v>445622.22150149266</v>
      </c>
      <c r="AT154" s="225"/>
      <c r="AU154" s="227">
        <v>189.64759883866</v>
      </c>
      <c r="AV154" s="227">
        <v>134.75</v>
      </c>
      <c r="AW154" s="226">
        <f t="shared" si="103"/>
        <v>47.411899709665001</v>
      </c>
      <c r="AX154" s="226">
        <f>IF($AW$11&gt;0,(AW154/$AW$11)*'DADOS BASE'!W$40,0)</f>
        <v>8518.7982370457521</v>
      </c>
      <c r="AY154" s="226">
        <f t="shared" si="104"/>
        <v>75.950839341279249</v>
      </c>
      <c r="AZ154" s="226">
        <f t="shared" si="105"/>
        <v>3.9722528583519537E-3</v>
      </c>
      <c r="BA154" s="226">
        <f>AZ154*'DADOS BASE'!W$41</f>
        <v>29346.423255089961</v>
      </c>
      <c r="BB154" s="225"/>
      <c r="BC154" s="227">
        <v>0</v>
      </c>
      <c r="BD154" s="226">
        <f>IF($BC$11&gt;0,(BC154/$BC$11)*'DADOS BASE'!W$39,0)</f>
        <v>0</v>
      </c>
      <c r="BE154" s="187"/>
    </row>
    <row r="155" spans="2:57" x14ac:dyDescent="0.3">
      <c r="B155" s="184" t="s">
        <v>285</v>
      </c>
      <c r="C155" s="184" t="s">
        <v>289</v>
      </c>
      <c r="D155" s="184" t="s">
        <v>94</v>
      </c>
      <c r="E155" s="184">
        <v>2013</v>
      </c>
      <c r="F155" s="185"/>
      <c r="H155" s="186">
        <f ca="1">IF(AND(E155&gt;=2018,SUMIF('DADOS BASE'!$C$101:$D$104,D155,'DADOS BASE'!$H$101:$H$104)&gt;J155),
SUMIF('DADOS BASE'!$C$101:$D$104,D155,'DADOS BASE'!$H$101:$H$104),
J155)</f>
        <v>1813391.9837439696</v>
      </c>
      <c r="J155" s="186">
        <f t="shared" si="94"/>
        <v>1813391.9837439696</v>
      </c>
      <c r="K155" s="186"/>
      <c r="L155" s="188">
        <v>1841.5004051522999</v>
      </c>
      <c r="M155" s="186">
        <f t="shared" si="95"/>
        <v>1.4366532739826647E-3</v>
      </c>
      <c r="N155" s="186">
        <f>L155*'DADOS BASE'!$I$29</f>
        <v>1813391.9837439696</v>
      </c>
      <c r="O155" s="187"/>
      <c r="P155" s="188">
        <v>0</v>
      </c>
      <c r="Q155" s="186">
        <f>P155*'DADOS BASE'!$I$33</f>
        <v>0</v>
      </c>
      <c r="R155" s="186"/>
      <c r="S155" s="188">
        <v>0</v>
      </c>
      <c r="T155" s="186">
        <f>S155*'DADOS BASE'!$I$37</f>
        <v>0</v>
      </c>
      <c r="U155" s="186"/>
      <c r="V155" s="186">
        <f t="shared" si="96"/>
        <v>0</v>
      </c>
      <c r="W155" s="187"/>
      <c r="X155" s="186"/>
      <c r="Y155" s="186"/>
      <c r="Z155" s="185"/>
      <c r="AA155" s="186"/>
      <c r="AB155" s="186"/>
      <c r="AC155" s="186"/>
      <c r="AD155" s="186"/>
      <c r="AE155" s="188">
        <v>1501</v>
      </c>
      <c r="AF155" s="188">
        <v>811.65769266175005</v>
      </c>
      <c r="AG155" s="186" t="s">
        <v>155</v>
      </c>
      <c r="AH155" s="189">
        <v>0.82399999999999995</v>
      </c>
      <c r="AI155" s="183">
        <f t="shared" si="97"/>
        <v>668.80593875328202</v>
      </c>
      <c r="AJ155" s="186">
        <f t="shared" si="98"/>
        <v>0.13713634699456534</v>
      </c>
      <c r="AK155" s="186"/>
      <c r="AL155" s="186">
        <f t="shared" si="99"/>
        <v>155.03621266066099</v>
      </c>
      <c r="AM155" s="187">
        <f t="shared" si="100"/>
        <v>125836.33464716851</v>
      </c>
      <c r="AN155" s="186"/>
      <c r="AO155" s="188">
        <v>1.3948170731706999</v>
      </c>
      <c r="AQ155" s="186">
        <f t="shared" si="101"/>
        <v>1132.1140072949456</v>
      </c>
      <c r="AR155" s="186">
        <f t="shared" si="102"/>
        <v>1.2045575766060361E-3</v>
      </c>
      <c r="AS155" s="187">
        <f>AR155*'DADOS BASE'!W$38</f>
        <v>361336.87922071188</v>
      </c>
      <c r="AU155" s="188">
        <v>0</v>
      </c>
      <c r="AV155" s="188">
        <v>0</v>
      </c>
      <c r="AW155" s="186">
        <f t="shared" si="103"/>
        <v>0</v>
      </c>
      <c r="AX155" s="186">
        <f>IF($AW$11&gt;0,(AW155/$AW$11)*'DADOS BASE'!W$40,0)</f>
        <v>0</v>
      </c>
      <c r="AY155" s="186">
        <f t="shared" si="104"/>
        <v>0</v>
      </c>
      <c r="AZ155" s="186">
        <f t="shared" si="105"/>
        <v>0</v>
      </c>
      <c r="BA155" s="186">
        <f>AZ155*'DADOS BASE'!W$41</f>
        <v>0</v>
      </c>
      <c r="BC155" s="188">
        <v>0</v>
      </c>
      <c r="BD155" s="186">
        <f>IF($BC$11&gt;0,(BC155/$BC$11)*'DADOS BASE'!W$39,0)</f>
        <v>0</v>
      </c>
      <c r="BE155" s="187"/>
    </row>
    <row r="156" spans="2:57" x14ac:dyDescent="0.3">
      <c r="B156" s="223" t="s">
        <v>285</v>
      </c>
      <c r="C156" s="223" t="s">
        <v>290</v>
      </c>
      <c r="D156" s="223" t="s">
        <v>94</v>
      </c>
      <c r="E156" s="223">
        <v>2012</v>
      </c>
      <c r="F156" s="224"/>
      <c r="G156" s="225"/>
      <c r="H156" s="226">
        <f ca="1">IF(AND(E156&gt;=2018,SUMIF('DADOS BASE'!$C$101:$D$104,D156,'DADOS BASE'!$H$101:$H$104)&gt;J156),
SUMIF('DADOS BASE'!$C$101:$D$104,D156,'DADOS BASE'!$H$101:$H$104),
J156)</f>
        <v>1610004.6808313329</v>
      </c>
      <c r="I156" s="225"/>
      <c r="J156" s="226">
        <f t="shared" si="94"/>
        <v>1610004.6808313329</v>
      </c>
      <c r="K156" s="226"/>
      <c r="L156" s="227">
        <v>1626.3714671595001</v>
      </c>
      <c r="M156" s="226">
        <f t="shared" si="95"/>
        <v>1.2688196464520703E-3</v>
      </c>
      <c r="N156" s="226">
        <f>L156*'DADOS BASE'!$I$29</f>
        <v>1601546.7457326141</v>
      </c>
      <c r="O156" s="228"/>
      <c r="P156" s="227">
        <v>0</v>
      </c>
      <c r="Q156" s="226">
        <f>P156*'DADOS BASE'!$I$33</f>
        <v>0</v>
      </c>
      <c r="R156" s="226"/>
      <c r="S156" s="227">
        <v>10.736296296296</v>
      </c>
      <c r="T156" s="226">
        <f>S156*'DADOS BASE'!$I$37</f>
        <v>8457.9350987188336</v>
      </c>
      <c r="U156" s="226"/>
      <c r="V156" s="226">
        <f t="shared" si="96"/>
        <v>8457.9350987188336</v>
      </c>
      <c r="W156" s="228"/>
      <c r="X156" s="226"/>
      <c r="Y156" s="226"/>
      <c r="Z156" s="224"/>
      <c r="AA156" s="226"/>
      <c r="AB156" s="226"/>
      <c r="AC156" s="226"/>
      <c r="AD156" s="226"/>
      <c r="AE156" s="227">
        <v>1307</v>
      </c>
      <c r="AF156" s="227">
        <v>808.26909001364004</v>
      </c>
      <c r="AG156" s="226" t="s">
        <v>155</v>
      </c>
      <c r="AH156" s="229">
        <v>0.82399999999999995</v>
      </c>
      <c r="AI156" s="225">
        <f t="shared" si="97"/>
        <v>666.01373017123933</v>
      </c>
      <c r="AJ156" s="226">
        <f t="shared" si="98"/>
        <v>0.13713634699456534</v>
      </c>
      <c r="AK156" s="226"/>
      <c r="AL156" s="226">
        <f t="shared" si="99"/>
        <v>155.03621266066099</v>
      </c>
      <c r="AM156" s="228">
        <f t="shared" si="100"/>
        <v>125310.97852639364</v>
      </c>
      <c r="AN156" s="226"/>
      <c r="AO156" s="227">
        <v>1.3048780487805001</v>
      </c>
      <c r="AP156" s="225"/>
      <c r="AQ156" s="226">
        <f t="shared" si="101"/>
        <v>1054.6925930665891</v>
      </c>
      <c r="AR156" s="226">
        <f t="shared" si="102"/>
        <v>1.1221819938472364E-3</v>
      </c>
      <c r="AS156" s="228">
        <f>AR156*'DADOS BASE'!W$38</f>
        <v>336626.28291869111</v>
      </c>
      <c r="AT156" s="225"/>
      <c r="AU156" s="227">
        <v>10.736296296296</v>
      </c>
      <c r="AV156" s="227">
        <v>20.75</v>
      </c>
      <c r="AW156" s="226">
        <f t="shared" si="103"/>
        <v>2.6840740740740001</v>
      </c>
      <c r="AX156" s="226">
        <f>IF($AW$11&gt;0,(AW156/$AW$11)*'DADOS BASE'!W$40,0)</f>
        <v>482.26469789947504</v>
      </c>
      <c r="AY156" s="226">
        <f t="shared" si="104"/>
        <v>3.5023893405600086</v>
      </c>
      <c r="AZ156" s="226">
        <f t="shared" si="105"/>
        <v>1.8317606743734215E-4</v>
      </c>
      <c r="BA156" s="226">
        <f>AZ156*'DADOS BASE'!W$41</f>
        <v>1353.2780003963317</v>
      </c>
      <c r="BB156" s="225"/>
      <c r="BC156" s="227">
        <v>0</v>
      </c>
      <c r="BD156" s="226">
        <f>IF($BC$11&gt;0,(BC156/$BC$11)*'DADOS BASE'!W$39,0)</f>
        <v>0</v>
      </c>
      <c r="BE156" s="187"/>
    </row>
    <row r="157" spans="2:57" x14ac:dyDescent="0.3">
      <c r="B157" s="184" t="s">
        <v>285</v>
      </c>
      <c r="C157" s="184" t="s">
        <v>291</v>
      </c>
      <c r="D157" s="184" t="s">
        <v>92</v>
      </c>
      <c r="E157" s="184">
        <v>2010</v>
      </c>
      <c r="F157" s="185"/>
      <c r="H157" s="186">
        <f ca="1">IF(AND(E157&gt;=2018,SUMIF('DADOS BASE'!$C$101:$D$104,D157,'DADOS BASE'!$H$101:$H$104)&gt;J157),
SUMIF('DADOS BASE'!$C$101:$D$104,D157,'DADOS BASE'!$H$101:$H$104),
J157)</f>
        <v>4387006.4701687722</v>
      </c>
      <c r="J157" s="186">
        <f t="shared" si="94"/>
        <v>4387006.4701687722</v>
      </c>
      <c r="K157" s="186"/>
      <c r="L157" s="188">
        <v>4427.9791769064996</v>
      </c>
      <c r="M157" s="186">
        <f t="shared" si="95"/>
        <v>3.4545041444634743E-3</v>
      </c>
      <c r="N157" s="186">
        <f>L157*'DADOS BASE'!$I$29</f>
        <v>4360391.0817078426</v>
      </c>
      <c r="O157" s="187"/>
      <c r="P157" s="188">
        <v>0</v>
      </c>
      <c r="Q157" s="186">
        <f>P157*'DADOS BASE'!$I$33</f>
        <v>0</v>
      </c>
      <c r="R157" s="186"/>
      <c r="S157" s="188">
        <v>33.784924242423997</v>
      </c>
      <c r="T157" s="186">
        <f>S157*'DADOS BASE'!$I$37</f>
        <v>26615.38846092932</v>
      </c>
      <c r="U157" s="186"/>
      <c r="V157" s="186">
        <f t="shared" si="96"/>
        <v>26615.38846092932</v>
      </c>
      <c r="W157" s="187"/>
      <c r="X157" s="186"/>
      <c r="Y157" s="186"/>
      <c r="Z157" s="185"/>
      <c r="AA157" s="186"/>
      <c r="AB157" s="186"/>
      <c r="AC157" s="186"/>
      <c r="AD157" s="186"/>
      <c r="AE157" s="188">
        <v>1880</v>
      </c>
      <c r="AF157" s="188">
        <v>1288.4613088040001</v>
      </c>
      <c r="AG157" s="186" t="s">
        <v>155</v>
      </c>
      <c r="AH157" s="189">
        <v>0.82399999999999995</v>
      </c>
      <c r="AI157" s="183">
        <f t="shared" si="97"/>
        <v>1061.692118454496</v>
      </c>
      <c r="AJ157" s="186">
        <f t="shared" si="98"/>
        <v>0.13713634699456534</v>
      </c>
      <c r="AK157" s="186"/>
      <c r="AL157" s="186">
        <f t="shared" si="99"/>
        <v>155.03621266066099</v>
      </c>
      <c r="AM157" s="187">
        <f t="shared" si="100"/>
        <v>199758.16147677056</v>
      </c>
      <c r="AN157" s="186"/>
      <c r="AO157" s="188">
        <v>1.5379310344828001</v>
      </c>
      <c r="AQ157" s="186">
        <f t="shared" si="101"/>
        <v>1981.5646335399983</v>
      </c>
      <c r="AR157" s="186">
        <f t="shared" si="102"/>
        <v>2.1083642437817796E-3</v>
      </c>
      <c r="AS157" s="187">
        <f>AR157*'DADOS BASE'!W$38</f>
        <v>632456.07425024675</v>
      </c>
      <c r="AU157" s="188">
        <v>33.784924242423997</v>
      </c>
      <c r="AV157" s="188">
        <v>80.25</v>
      </c>
      <c r="AW157" s="186">
        <f t="shared" si="103"/>
        <v>8.4462310606059994</v>
      </c>
      <c r="AX157" s="186">
        <f>IF($AW$11&gt;0,(AW157/$AW$11)*'DADOS BASE'!W$40,0)</f>
        <v>1517.5881732092664</v>
      </c>
      <c r="AY157" s="186">
        <f t="shared" si="104"/>
        <v>12.989720872518543</v>
      </c>
      <c r="AZ157" s="186">
        <f t="shared" si="105"/>
        <v>6.7936649960117124E-4</v>
      </c>
      <c r="BA157" s="186">
        <f>AZ157*'DADOS BASE'!W$41</f>
        <v>5019.0603553109459</v>
      </c>
      <c r="BC157" s="188">
        <v>151</v>
      </c>
      <c r="BD157" s="186">
        <f>IF($BC$11&gt;0,(BC157/$BC$11)*'DADOS BASE'!W$39,0)</f>
        <v>815883.8058896123</v>
      </c>
      <c r="BE157" s="187"/>
    </row>
    <row r="158" spans="2:57" x14ac:dyDescent="0.3">
      <c r="B158" s="223" t="s">
        <v>285</v>
      </c>
      <c r="C158" s="223" t="s">
        <v>292</v>
      </c>
      <c r="D158" s="223" t="s">
        <v>94</v>
      </c>
      <c r="E158" s="223">
        <v>2013</v>
      </c>
      <c r="F158" s="224"/>
      <c r="G158" s="225"/>
      <c r="H158" s="226">
        <f ca="1">IF(AND(E158&gt;=2018,SUMIF('DADOS BASE'!$C$101:$D$104,D158,'DADOS BASE'!$H$101:$H$104)&gt;J158),
SUMIF('DADOS BASE'!$C$101:$D$104,D158,'DADOS BASE'!$H$101:$H$104),
J158)</f>
        <v>1391779.1162685992</v>
      </c>
      <c r="I158" s="225"/>
      <c r="J158" s="226">
        <f t="shared" si="94"/>
        <v>1391779.1162685992</v>
      </c>
      <c r="K158" s="226"/>
      <c r="L158" s="227">
        <v>1410.8613416154001</v>
      </c>
      <c r="M158" s="226">
        <f t="shared" si="95"/>
        <v>1.1006886340596295E-3</v>
      </c>
      <c r="N158" s="226">
        <f>L158*'DADOS BASE'!$I$29</f>
        <v>1389326.1385669012</v>
      </c>
      <c r="O158" s="228"/>
      <c r="P158" s="227">
        <v>0</v>
      </c>
      <c r="Q158" s="226">
        <f>P158*'DADOS BASE'!$I$33</f>
        <v>0</v>
      </c>
      <c r="R158" s="226"/>
      <c r="S158" s="227">
        <v>3.11375</v>
      </c>
      <c r="T158" s="226">
        <f>S158*'DADOS BASE'!$I$37</f>
        <v>2452.9777016978937</v>
      </c>
      <c r="U158" s="226"/>
      <c r="V158" s="226">
        <f t="shared" si="96"/>
        <v>2452.9777016978937</v>
      </c>
      <c r="W158" s="228"/>
      <c r="X158" s="226"/>
      <c r="Y158" s="226"/>
      <c r="Z158" s="224"/>
      <c r="AA158" s="226"/>
      <c r="AB158" s="226"/>
      <c r="AC158" s="226"/>
      <c r="AD158" s="226"/>
      <c r="AE158" s="227">
        <v>904</v>
      </c>
      <c r="AF158" s="227">
        <v>691.17994655741995</v>
      </c>
      <c r="AG158" s="226" t="s">
        <v>155</v>
      </c>
      <c r="AH158" s="229">
        <v>0.82399999999999995</v>
      </c>
      <c r="AI158" s="225">
        <f t="shared" si="97"/>
        <v>569.53227596331396</v>
      </c>
      <c r="AJ158" s="226">
        <f t="shared" si="98"/>
        <v>0.13713634699456534</v>
      </c>
      <c r="AK158" s="226"/>
      <c r="AL158" s="226">
        <f t="shared" si="99"/>
        <v>155.03621266066099</v>
      </c>
      <c r="AM158" s="228">
        <f t="shared" si="100"/>
        <v>107157.92118126046</v>
      </c>
      <c r="AN158" s="226"/>
      <c r="AO158" s="227">
        <v>1.2987528344671</v>
      </c>
      <c r="AP158" s="225"/>
      <c r="AQ158" s="226">
        <f t="shared" si="101"/>
        <v>897.67191471826789</v>
      </c>
      <c r="AR158" s="226">
        <f t="shared" si="102"/>
        <v>9.5511361860451793E-4</v>
      </c>
      <c r="AS158" s="228">
        <f>AR158*'DADOS BASE'!W$38</f>
        <v>286509.98586565058</v>
      </c>
      <c r="AT158" s="225"/>
      <c r="AU158" s="227">
        <v>3.11375</v>
      </c>
      <c r="AV158" s="227">
        <v>6.75</v>
      </c>
      <c r="AW158" s="226">
        <f t="shared" si="103"/>
        <v>0.7784375</v>
      </c>
      <c r="AX158" s="226">
        <f>IF($AW$11&gt;0,(AW158/$AW$11)*'DADOS BASE'!W$40,0)</f>
        <v>139.86682759515097</v>
      </c>
      <c r="AY158" s="226">
        <f t="shared" si="104"/>
        <v>1.0109979095804831</v>
      </c>
      <c r="AZ158" s="226">
        <f t="shared" si="105"/>
        <v>5.2875509618446866E-5</v>
      </c>
      <c r="BA158" s="226">
        <f>AZ158*'DADOS BASE'!W$41</f>
        <v>390.63653307692732</v>
      </c>
      <c r="BB158" s="225"/>
      <c r="BC158" s="227">
        <v>0</v>
      </c>
      <c r="BD158" s="226">
        <f>IF($BC$11&gt;0,(BC158/$BC$11)*'DADOS BASE'!W$39,0)</f>
        <v>0</v>
      </c>
      <c r="BE158" s="187"/>
    </row>
    <row r="159" spans="2:57" x14ac:dyDescent="0.3">
      <c r="B159" s="184" t="s">
        <v>285</v>
      </c>
      <c r="C159" s="184" t="s">
        <v>293</v>
      </c>
      <c r="D159" s="184" t="s">
        <v>94</v>
      </c>
      <c r="E159" s="184">
        <v>2013</v>
      </c>
      <c r="F159" s="185"/>
      <c r="H159" s="186">
        <f ca="1">IF(AND(E159&gt;=2018,SUMIF('DADOS BASE'!$C$101:$D$104,D159,'DADOS BASE'!$H$101:$H$104)&gt;J159),
SUMIF('DADOS BASE'!$C$101:$D$104,D159,'DADOS BASE'!$H$101:$H$104),
J159)</f>
        <v>1602075.7748711582</v>
      </c>
      <c r="J159" s="186">
        <f t="shared" si="94"/>
        <v>1602075.7748711582</v>
      </c>
      <c r="K159" s="186"/>
      <c r="L159" s="188">
        <v>1626.9086964963999</v>
      </c>
      <c r="M159" s="186">
        <f t="shared" si="95"/>
        <v>1.2692387678834734E-3</v>
      </c>
      <c r="N159" s="186">
        <f>L159*'DADOS BASE'!$I$29</f>
        <v>1602075.7748711582</v>
      </c>
      <c r="O159" s="187"/>
      <c r="P159" s="188">
        <v>0</v>
      </c>
      <c r="Q159" s="186">
        <f>P159*'DADOS BASE'!$I$33</f>
        <v>0</v>
      </c>
      <c r="R159" s="186"/>
      <c r="S159" s="188">
        <v>0</v>
      </c>
      <c r="T159" s="186">
        <f>S159*'DADOS BASE'!$I$37</f>
        <v>0</v>
      </c>
      <c r="U159" s="186"/>
      <c r="V159" s="186">
        <f t="shared" si="96"/>
        <v>0</v>
      </c>
      <c r="W159" s="187"/>
      <c r="X159" s="186"/>
      <c r="Y159" s="186"/>
      <c r="Z159" s="185"/>
      <c r="AA159" s="186"/>
      <c r="AB159" s="186"/>
      <c r="AC159" s="186"/>
      <c r="AD159" s="186"/>
      <c r="AE159" s="188">
        <v>1151</v>
      </c>
      <c r="AF159" s="188">
        <v>755.46665131705004</v>
      </c>
      <c r="AG159" s="186" t="s">
        <v>155</v>
      </c>
      <c r="AH159" s="189">
        <v>0.82399999999999995</v>
      </c>
      <c r="AI159" s="183">
        <f t="shared" si="97"/>
        <v>622.50452068524919</v>
      </c>
      <c r="AJ159" s="186">
        <f t="shared" si="98"/>
        <v>0.13713634699456534</v>
      </c>
      <c r="AK159" s="186"/>
      <c r="AL159" s="186">
        <f t="shared" si="99"/>
        <v>155.03621266066099</v>
      </c>
      <c r="AM159" s="187">
        <f t="shared" si="100"/>
        <v>117124.68841162759</v>
      </c>
      <c r="AN159" s="186"/>
      <c r="AO159" s="188">
        <v>1.2861060329067999</v>
      </c>
      <c r="AQ159" s="186">
        <f t="shared" si="101"/>
        <v>971.61021791875589</v>
      </c>
      <c r="AR159" s="186">
        <f t="shared" si="102"/>
        <v>1.0337832073099413E-3</v>
      </c>
      <c r="AS159" s="187">
        <f>AR159*'DADOS BASE'!W$38</f>
        <v>310108.87746242125</v>
      </c>
      <c r="AU159" s="188">
        <v>0</v>
      </c>
      <c r="AV159" s="188">
        <v>0</v>
      </c>
      <c r="AW159" s="186">
        <f t="shared" si="103"/>
        <v>0</v>
      </c>
      <c r="AX159" s="186">
        <f>IF($AW$11&gt;0,(AW159/$AW$11)*'DADOS BASE'!W$40,0)</f>
        <v>0</v>
      </c>
      <c r="AY159" s="186">
        <f t="shared" si="104"/>
        <v>0</v>
      </c>
      <c r="AZ159" s="186">
        <f t="shared" si="105"/>
        <v>0</v>
      </c>
      <c r="BA159" s="186">
        <f>AZ159*'DADOS BASE'!W$41</f>
        <v>0</v>
      </c>
      <c r="BC159" s="188">
        <v>0</v>
      </c>
      <c r="BD159" s="186">
        <f>IF($BC$11&gt;0,(BC159/$BC$11)*'DADOS BASE'!W$39,0)</f>
        <v>0</v>
      </c>
      <c r="BE159" s="187"/>
    </row>
    <row r="160" spans="2:57" x14ac:dyDescent="0.3">
      <c r="B160" s="223" t="s">
        <v>285</v>
      </c>
      <c r="C160" s="223" t="s">
        <v>294</v>
      </c>
      <c r="D160" s="223" t="s">
        <v>94</v>
      </c>
      <c r="E160" s="223">
        <v>2012</v>
      </c>
      <c r="F160" s="224"/>
      <c r="G160" s="225"/>
      <c r="H160" s="226">
        <f ca="1">IF(AND(E160&gt;=2018,SUMIF('DADOS BASE'!$C$101:$D$104,D160,'DADOS BASE'!$H$101:$H$104)&gt;J160),
SUMIF('DADOS BASE'!$C$101:$D$104,D160,'DADOS BASE'!$H$101:$H$104),
J160)</f>
        <v>2495149.2378563681</v>
      </c>
      <c r="I160" s="225"/>
      <c r="J160" s="226">
        <f t="shared" si="94"/>
        <v>2495149.2378563681</v>
      </c>
      <c r="K160" s="226"/>
      <c r="L160" s="227">
        <v>2516.6013955259</v>
      </c>
      <c r="M160" s="226">
        <f t="shared" si="95"/>
        <v>1.9633357799302854E-3</v>
      </c>
      <c r="N160" s="226">
        <f>L160*'DADOS BASE'!$I$29</f>
        <v>2478188.3208698649</v>
      </c>
      <c r="O160" s="228"/>
      <c r="P160" s="227">
        <v>0</v>
      </c>
      <c r="Q160" s="226">
        <f>P160*'DADOS BASE'!$I$33</f>
        <v>0</v>
      </c>
      <c r="R160" s="226"/>
      <c r="S160" s="227">
        <v>21.529773886720999</v>
      </c>
      <c r="T160" s="226">
        <f>S160*'DADOS BASE'!$I$37</f>
        <v>16960.916986503154</v>
      </c>
      <c r="U160" s="226"/>
      <c r="V160" s="226">
        <f t="shared" si="96"/>
        <v>16960.916986503154</v>
      </c>
      <c r="W160" s="228"/>
      <c r="X160" s="226"/>
      <c r="Y160" s="226"/>
      <c r="Z160" s="224"/>
      <c r="AA160" s="226"/>
      <c r="AB160" s="226"/>
      <c r="AC160" s="226"/>
      <c r="AD160" s="226"/>
      <c r="AE160" s="227">
        <v>1470</v>
      </c>
      <c r="AF160" s="227">
        <v>1051.5285139185</v>
      </c>
      <c r="AG160" s="226" t="s">
        <v>155</v>
      </c>
      <c r="AH160" s="229">
        <v>0.82399999999999995</v>
      </c>
      <c r="AI160" s="225">
        <f t="shared" si="97"/>
        <v>866.45949546884401</v>
      </c>
      <c r="AJ160" s="226">
        <f t="shared" si="98"/>
        <v>0.13713634699456534</v>
      </c>
      <c r="AK160" s="226"/>
      <c r="AL160" s="226">
        <f t="shared" si="99"/>
        <v>155.03621266066099</v>
      </c>
      <c r="AM160" s="228">
        <f t="shared" si="100"/>
        <v>163024.9983026174</v>
      </c>
      <c r="AN160" s="226"/>
      <c r="AO160" s="227">
        <v>1.620720188902</v>
      </c>
      <c r="AP160" s="225"/>
      <c r="AQ160" s="226">
        <f t="shared" si="101"/>
        <v>1704.2334917138307</v>
      </c>
      <c r="AR160" s="226">
        <f t="shared" si="102"/>
        <v>1.8132867816508112E-3</v>
      </c>
      <c r="AS160" s="228">
        <f>AR160*'DADOS BASE'!W$38</f>
        <v>543940.28109472874</v>
      </c>
      <c r="AT160" s="225"/>
      <c r="AU160" s="227">
        <v>21.529773886720999</v>
      </c>
      <c r="AV160" s="227">
        <v>82</v>
      </c>
      <c r="AW160" s="226">
        <f t="shared" si="103"/>
        <v>5.3824434716802498</v>
      </c>
      <c r="AX160" s="226">
        <f>IF($AW$11&gt;0,(AW160/$AW$11)*'DADOS BASE'!W$40,0)</f>
        <v>967.09792770022932</v>
      </c>
      <c r="AY160" s="226">
        <f t="shared" si="104"/>
        <v>8.7234348001759514</v>
      </c>
      <c r="AZ160" s="226">
        <f t="shared" si="105"/>
        <v>4.5623839209914626E-4</v>
      </c>
      <c r="BA160" s="226">
        <f>AZ160*'DADOS BASE'!W$41</f>
        <v>3370.622525102337</v>
      </c>
      <c r="BB160" s="225"/>
      <c r="BC160" s="227">
        <v>0</v>
      </c>
      <c r="BD160" s="226">
        <f>IF($BC$11&gt;0,(BC160/$BC$11)*'DADOS BASE'!W$39,0)</f>
        <v>0</v>
      </c>
      <c r="BE160" s="187"/>
    </row>
    <row r="161" spans="2:57" x14ac:dyDescent="0.3">
      <c r="B161" s="184" t="s">
        <v>285</v>
      </c>
      <c r="C161" s="184" t="s">
        <v>295</v>
      </c>
      <c r="D161" s="184" t="s">
        <v>94</v>
      </c>
      <c r="E161" s="184">
        <v>2013</v>
      </c>
      <c r="F161" s="185"/>
      <c r="H161" s="186">
        <f ca="1">IF(AND(E161&gt;=2018,SUMIF('DADOS BASE'!$C$101:$D$104,D161,'DADOS BASE'!$H$101:$H$104)&gt;J161),
SUMIF('DADOS BASE'!$C$101:$D$104,D161,'DADOS BASE'!$H$101:$H$104),
J161)</f>
        <v>1442093.1891879088</v>
      </c>
      <c r="J161" s="186">
        <f t="shared" si="94"/>
        <v>1442093.1891879088</v>
      </c>
      <c r="K161" s="186"/>
      <c r="L161" s="188">
        <v>1420.6552831639999</v>
      </c>
      <c r="M161" s="186">
        <f t="shared" si="95"/>
        <v>1.1083294133674283E-3</v>
      </c>
      <c r="N161" s="186">
        <f>L161*'DADOS BASE'!$I$29</f>
        <v>1398970.5866722595</v>
      </c>
      <c r="O161" s="187"/>
      <c r="P161" s="188">
        <v>0</v>
      </c>
      <c r="Q161" s="186">
        <f>P161*'DADOS BASE'!$I$33</f>
        <v>0</v>
      </c>
      <c r="R161" s="186"/>
      <c r="S161" s="188">
        <v>54.738778705637003</v>
      </c>
      <c r="T161" s="186">
        <f>S161*'DADOS BASE'!$I$37</f>
        <v>43122.602515649312</v>
      </c>
      <c r="U161" s="186"/>
      <c r="V161" s="186">
        <f t="shared" si="96"/>
        <v>43122.602515649312</v>
      </c>
      <c r="W161" s="187"/>
      <c r="X161" s="186"/>
      <c r="Y161" s="186"/>
      <c r="Z161" s="185"/>
      <c r="AA161" s="186"/>
      <c r="AB161" s="186"/>
      <c r="AC161" s="186"/>
      <c r="AD161" s="186"/>
      <c r="AE161" s="188">
        <v>1218</v>
      </c>
      <c r="AF161" s="188">
        <v>798.65145915379003</v>
      </c>
      <c r="AG161" s="186" t="s">
        <v>155</v>
      </c>
      <c r="AH161" s="189">
        <v>0.82399999999999995</v>
      </c>
      <c r="AI161" s="183">
        <f t="shared" si="97"/>
        <v>658.08880234272294</v>
      </c>
      <c r="AJ161" s="186">
        <f t="shared" si="98"/>
        <v>0.13713634699456534</v>
      </c>
      <c r="AK161" s="186"/>
      <c r="AL161" s="186">
        <f t="shared" si="99"/>
        <v>155.03621266066099</v>
      </c>
      <c r="AM161" s="187">
        <f t="shared" si="100"/>
        <v>123819.8974631142</v>
      </c>
      <c r="AN161" s="186"/>
      <c r="AO161" s="188">
        <v>1.6285347043702001</v>
      </c>
      <c r="AQ161" s="186">
        <f t="shared" si="101"/>
        <v>1300.6316179278465</v>
      </c>
      <c r="AR161" s="186">
        <f t="shared" si="102"/>
        <v>1.3838585687070222E-3</v>
      </c>
      <c r="AS161" s="187">
        <f>AR161*'DADOS BASE'!W$38</f>
        <v>415122.65267414425</v>
      </c>
      <c r="AU161" s="188">
        <v>39.034185803758</v>
      </c>
      <c r="AV161" s="188">
        <v>27.5</v>
      </c>
      <c r="AW161" s="186">
        <f t="shared" si="103"/>
        <v>9.7585464509394999</v>
      </c>
      <c r="AX161" s="186">
        <f>IF($AW$11&gt;0,(AW161/$AW$11)*'DADOS BASE'!W$40,0)</f>
        <v>1753.3802444420103</v>
      </c>
      <c r="AY161" s="186">
        <f t="shared" si="104"/>
        <v>15.892131559563623</v>
      </c>
      <c r="AZ161" s="186">
        <f t="shared" si="105"/>
        <v>8.3116349417974216E-4</v>
      </c>
      <c r="BA161" s="186">
        <f>AZ161*'DADOS BASE'!W$41</f>
        <v>6140.5143539875417</v>
      </c>
      <c r="BC161" s="188">
        <v>0</v>
      </c>
      <c r="BD161" s="186">
        <f>IF($BC$11&gt;0,(BC161/$BC$11)*'DADOS BASE'!W$39,0)</f>
        <v>0</v>
      </c>
      <c r="BE161" s="187"/>
    </row>
    <row r="162" spans="2:57" x14ac:dyDescent="0.3">
      <c r="B162" s="223" t="s">
        <v>285</v>
      </c>
      <c r="C162" s="223" t="s">
        <v>296</v>
      </c>
      <c r="D162" s="223" t="s">
        <v>94</v>
      </c>
      <c r="E162" s="223">
        <v>2012</v>
      </c>
      <c r="F162" s="224"/>
      <c r="G162" s="225"/>
      <c r="H162" s="226">
        <f ca="1">IF(AND(E162&gt;=2018,SUMIF('DADOS BASE'!$C$101:$D$104,D162,'DADOS BASE'!$H$101:$H$104)&gt;J162),
SUMIF('DADOS BASE'!$C$101:$D$104,D162,'DADOS BASE'!$H$101:$H$104),
J162)</f>
        <v>2224769.8907544352</v>
      </c>
      <c r="I162" s="225"/>
      <c r="J162" s="226">
        <f t="shared" si="94"/>
        <v>2224769.8907544352</v>
      </c>
      <c r="K162" s="226"/>
      <c r="L162" s="227">
        <v>2259.2548615640999</v>
      </c>
      <c r="M162" s="226">
        <f t="shared" si="95"/>
        <v>1.7625659405482875E-3</v>
      </c>
      <c r="N162" s="226">
        <f>L162*'DADOS BASE'!$I$29</f>
        <v>2224769.8907544352</v>
      </c>
      <c r="O162" s="228"/>
      <c r="P162" s="227">
        <v>0</v>
      </c>
      <c r="Q162" s="226">
        <f>P162*'DADOS BASE'!$I$33</f>
        <v>0</v>
      </c>
      <c r="R162" s="226"/>
      <c r="S162" s="227">
        <v>0</v>
      </c>
      <c r="T162" s="226">
        <f>S162*'DADOS BASE'!$I$37</f>
        <v>0</v>
      </c>
      <c r="U162" s="226"/>
      <c r="V162" s="226">
        <f t="shared" si="96"/>
        <v>0</v>
      </c>
      <c r="W162" s="228"/>
      <c r="X162" s="226"/>
      <c r="Y162" s="226"/>
      <c r="Z162" s="224"/>
      <c r="AA162" s="226"/>
      <c r="AB162" s="226"/>
      <c r="AC162" s="226"/>
      <c r="AD162" s="226"/>
      <c r="AE162" s="227">
        <v>2016</v>
      </c>
      <c r="AF162" s="227">
        <v>1080.9746592723</v>
      </c>
      <c r="AG162" s="226" t="s">
        <v>155</v>
      </c>
      <c r="AH162" s="229">
        <v>0.82399999999999995</v>
      </c>
      <c r="AI162" s="225">
        <f t="shared" si="97"/>
        <v>890.72311924037513</v>
      </c>
      <c r="AJ162" s="226">
        <f t="shared" si="98"/>
        <v>0.13713634699456534</v>
      </c>
      <c r="AK162" s="226"/>
      <c r="AL162" s="226">
        <f t="shared" si="99"/>
        <v>155.03621266066099</v>
      </c>
      <c r="AM162" s="228">
        <f t="shared" si="100"/>
        <v>167590.21715572584</v>
      </c>
      <c r="AN162" s="226"/>
      <c r="AO162" s="227">
        <v>1.3722193481635001</v>
      </c>
      <c r="AP162" s="225"/>
      <c r="AQ162" s="226">
        <f t="shared" si="101"/>
        <v>1483.334342327897</v>
      </c>
      <c r="AR162" s="226">
        <f t="shared" si="102"/>
        <v>1.5782523749178394E-3</v>
      </c>
      <c r="AS162" s="228">
        <f>AR162*'DADOS BASE'!W$38</f>
        <v>473435.88953407551</v>
      </c>
      <c r="AT162" s="225"/>
      <c r="AU162" s="227">
        <v>0</v>
      </c>
      <c r="AV162" s="227">
        <v>0</v>
      </c>
      <c r="AW162" s="226">
        <f t="shared" si="103"/>
        <v>0</v>
      </c>
      <c r="AX162" s="226">
        <f>IF($AW$11&gt;0,(AW162/$AW$11)*'DADOS BASE'!W$40,0)</f>
        <v>0</v>
      </c>
      <c r="AY162" s="226">
        <f t="shared" si="104"/>
        <v>0</v>
      </c>
      <c r="AZ162" s="226">
        <f t="shared" si="105"/>
        <v>0</v>
      </c>
      <c r="BA162" s="226">
        <f>AZ162*'DADOS BASE'!W$41</f>
        <v>0</v>
      </c>
      <c r="BB162" s="225"/>
      <c r="BC162" s="227">
        <v>0</v>
      </c>
      <c r="BD162" s="226">
        <f>IF($BC$11&gt;0,(BC162/$BC$11)*'DADOS BASE'!W$39,0)</f>
        <v>0</v>
      </c>
      <c r="BE162" s="187"/>
    </row>
    <row r="163" spans="2:57" x14ac:dyDescent="0.3">
      <c r="F163" s="185"/>
      <c r="H163" s="186"/>
      <c r="J163" s="186"/>
      <c r="K163" s="186"/>
      <c r="L163" s="186"/>
      <c r="M163" s="186"/>
      <c r="N163" s="186"/>
      <c r="O163" s="187"/>
      <c r="P163" s="186"/>
      <c r="Q163" s="186"/>
      <c r="R163" s="186"/>
      <c r="S163" s="186"/>
      <c r="T163" s="186"/>
      <c r="U163" s="186"/>
      <c r="V163" s="186"/>
      <c r="W163" s="187"/>
      <c r="X163" s="186"/>
      <c r="Y163" s="186"/>
      <c r="Z163" s="185"/>
      <c r="AA163" s="186"/>
      <c r="AB163" s="186"/>
      <c r="AC163" s="186"/>
      <c r="AD163" s="186"/>
      <c r="AE163" s="186"/>
      <c r="AF163" s="186"/>
      <c r="AG163" s="186"/>
      <c r="AH163" s="185"/>
      <c r="AJ163" s="186"/>
      <c r="AK163" s="186"/>
      <c r="AL163" s="186"/>
      <c r="AM163" s="187"/>
      <c r="AN163" s="186"/>
      <c r="AO163" s="186"/>
      <c r="AQ163" s="186"/>
      <c r="AR163" s="186"/>
      <c r="AS163" s="187"/>
      <c r="AU163" s="186"/>
      <c r="AV163" s="186"/>
      <c r="AW163" s="186"/>
      <c r="AX163" s="186"/>
      <c r="AY163" s="186"/>
      <c r="AZ163" s="186"/>
      <c r="BA163" s="186"/>
      <c r="BC163" s="186"/>
      <c r="BD163" s="186"/>
      <c r="BE163" s="187"/>
    </row>
    <row r="164" spans="2:57" x14ac:dyDescent="0.3">
      <c r="B164" s="209" t="s">
        <v>297</v>
      </c>
      <c r="C164" s="209" t="s">
        <v>298</v>
      </c>
      <c r="D164" s="211" t="s">
        <v>154</v>
      </c>
      <c r="E164" s="211"/>
      <c r="F164" s="210"/>
      <c r="G164" s="211"/>
      <c r="H164" s="212">
        <f ca="1">SUM(H165:H188)</f>
        <v>50068052.107408546</v>
      </c>
      <c r="I164" s="211"/>
      <c r="J164" s="212">
        <f>SUM(J165:J188)</f>
        <v>49368052.107408546</v>
      </c>
      <c r="K164" s="212"/>
      <c r="L164" s="212">
        <f>SUM(L165:L188)</f>
        <v>46117.974223431644</v>
      </c>
      <c r="M164" s="212">
        <f>SUM(M165:M188)</f>
        <v>3.5979106207180873E-2</v>
      </c>
      <c r="N164" s="212">
        <f>SUM(N165:N188)</f>
        <v>45414035.494803704</v>
      </c>
      <c r="O164" s="214"/>
      <c r="P164" s="212">
        <f>SUM(P165:P188)</f>
        <v>1813.3581869581467</v>
      </c>
      <c r="Q164" s="212">
        <f>SUM(Q165:Q188)</f>
        <v>446419.83117218525</v>
      </c>
      <c r="R164" s="212"/>
      <c r="S164" s="212">
        <f>SUM(S165:S188)</f>
        <v>4452.4577091043802</v>
      </c>
      <c r="T164" s="212">
        <f>SUM(T165:T188)</f>
        <v>3507596.7814326552</v>
      </c>
      <c r="U164" s="212"/>
      <c r="V164" s="212">
        <f>SUM(V165:V188)</f>
        <v>3954016.6126048402</v>
      </c>
      <c r="W164" s="214"/>
      <c r="X164" s="212">
        <f>SUMIF(INDICADORES!$D$13:$D$53,C164,INDICADORES!$L$13:$L$53)</f>
        <v>4.0102279207520103E-2</v>
      </c>
      <c r="Y164" s="212">
        <f>X164*'DADOS BASE'!$I$79</f>
        <v>1665175.6230006809</v>
      </c>
      <c r="Z164" s="210">
        <f>SUMIF(INDICADORES!$D$13:$D$53,C164,INDICADORES!$R$13:$R$53)</f>
        <v>2.3267809043498192E-2</v>
      </c>
      <c r="AA164" s="212">
        <f>Z164*'DADOS BASE'!$I$84</f>
        <v>966154.27316167101</v>
      </c>
      <c r="AB164" s="212">
        <f>SUMIF(INDICADORES!$D$13:$D$53,C164,INDICADORES!$Z$13:$Z$53)</f>
        <v>2.4620548201241148E-2</v>
      </c>
      <c r="AC164" s="212">
        <f>AB164*'DADOS BASE'!$I$89</f>
        <v>2044648.7082425996</v>
      </c>
      <c r="AD164" s="212"/>
      <c r="AE164" s="212">
        <f>SUM(AE165:AE188)</f>
        <v>27108</v>
      </c>
      <c r="AF164" s="212">
        <f>SUM(AF165:AF188)</f>
        <v>19037.221637873976</v>
      </c>
      <c r="AG164" s="212" t="s">
        <v>155</v>
      </c>
      <c r="AH164" s="210"/>
      <c r="AI164" s="211"/>
      <c r="AJ164" s="212"/>
      <c r="AK164" s="212"/>
      <c r="AL164" s="212"/>
      <c r="AM164" s="214">
        <f>SUM(AM165:AM188)</f>
        <v>3322945.3438928691</v>
      </c>
      <c r="AN164" s="212"/>
      <c r="AO164" s="212"/>
      <c r="AP164" s="211"/>
      <c r="AQ164" s="212">
        <f>SUM(AQ165:AQ188)</f>
        <v>29967.675529393975</v>
      </c>
      <c r="AR164" s="212"/>
      <c r="AS164" s="214">
        <f>SUM(AS165:AS188)</f>
        <v>9564784.3622775916</v>
      </c>
      <c r="AT164" s="211"/>
      <c r="AU164" s="212">
        <f t="shared" ref="AU164:BA164" si="106">SUM(AU165:AU188)</f>
        <v>2390.1218819221845</v>
      </c>
      <c r="AV164" s="212">
        <f t="shared" si="106"/>
        <v>3247</v>
      </c>
      <c r="AW164" s="212">
        <f t="shared" si="106"/>
        <v>597.53047048054611</v>
      </c>
      <c r="AX164" s="212">
        <f t="shared" si="106"/>
        <v>107362.10845129118</v>
      </c>
      <c r="AY164" s="212">
        <f t="shared" si="106"/>
        <v>732.67138776991794</v>
      </c>
      <c r="AZ164" s="212">
        <f t="shared" si="106"/>
        <v>3.8318944721917915E-2</v>
      </c>
      <c r="BA164" s="212">
        <f t="shared" si="106"/>
        <v>283094.7602274121</v>
      </c>
      <c r="BB164" s="211"/>
      <c r="BC164" s="212">
        <f>SUM(BC165:BC188)</f>
        <v>541</v>
      </c>
      <c r="BD164" s="212">
        <f>SUM(BD165:BD188)</f>
        <v>2923133.3707700679</v>
      </c>
      <c r="BE164" s="187"/>
    </row>
    <row r="165" spans="2:57" x14ac:dyDescent="0.3">
      <c r="B165" s="216" t="s">
        <v>297</v>
      </c>
      <c r="C165" s="218" t="s">
        <v>156</v>
      </c>
      <c r="D165" s="218" t="s">
        <v>157</v>
      </c>
      <c r="E165" s="218"/>
      <c r="F165" s="217"/>
      <c r="G165" s="218"/>
      <c r="H165" s="219"/>
      <c r="I165" s="218"/>
      <c r="J165" s="219"/>
      <c r="K165" s="219"/>
      <c r="L165" s="219">
        <v>0</v>
      </c>
      <c r="M165" s="219">
        <v>0</v>
      </c>
      <c r="N165" s="219">
        <v>0</v>
      </c>
      <c r="O165" s="221"/>
      <c r="P165" s="219"/>
      <c r="Q165" s="219"/>
      <c r="R165" s="219"/>
      <c r="S165" s="219"/>
      <c r="T165" s="219"/>
      <c r="U165" s="219"/>
      <c r="V165" s="219"/>
      <c r="W165" s="221"/>
      <c r="X165" s="219"/>
      <c r="Y165" s="219"/>
      <c r="Z165" s="217"/>
      <c r="AA165" s="219"/>
      <c r="AB165" s="219"/>
      <c r="AC165" s="219"/>
      <c r="AD165" s="219"/>
      <c r="AE165" s="219"/>
      <c r="AF165" s="219"/>
      <c r="AG165" s="219" t="s">
        <v>155</v>
      </c>
      <c r="AH165" s="217"/>
      <c r="AI165" s="218"/>
      <c r="AJ165" s="219"/>
      <c r="AK165" s="219"/>
      <c r="AL165" s="219"/>
      <c r="AM165" s="221"/>
      <c r="AN165" s="219"/>
      <c r="AO165" s="219"/>
      <c r="AP165" s="218"/>
      <c r="AQ165" s="219"/>
      <c r="AR165" s="219"/>
      <c r="AS165" s="221"/>
      <c r="AT165" s="218"/>
      <c r="AU165" s="219"/>
      <c r="AV165" s="219"/>
      <c r="AW165" s="219"/>
      <c r="AX165" s="219"/>
      <c r="AY165" s="219"/>
      <c r="AZ165" s="219"/>
      <c r="BA165" s="219"/>
      <c r="BB165" s="218"/>
      <c r="BC165" s="219"/>
      <c r="BD165" s="219"/>
      <c r="BE165" s="187"/>
    </row>
    <row r="166" spans="2:57" x14ac:dyDescent="0.3">
      <c r="B166" s="223" t="s">
        <v>297</v>
      </c>
      <c r="C166" s="223" t="s">
        <v>299</v>
      </c>
      <c r="D166" s="223" t="s">
        <v>92</v>
      </c>
      <c r="E166" s="223">
        <v>0</v>
      </c>
      <c r="F166" s="224"/>
      <c r="G166" s="225"/>
      <c r="H166" s="226">
        <f ca="1">IF(AND(E166&gt;=2018,SUMIF('DADOS BASE'!$C$101:$D$104,D166,'DADOS BASE'!$H$101:$H$104)&gt;J166),
SUMIF('DADOS BASE'!$C$101:$D$104,D166,'DADOS BASE'!$H$101:$H$104),
J166)</f>
        <v>3610465.2121374621</v>
      </c>
      <c r="I166" s="225"/>
      <c r="J166" s="226">
        <f t="shared" ref="J166:J188" si="107">N166+Q166+T166</f>
        <v>3610465.2121374621</v>
      </c>
      <c r="K166" s="226"/>
      <c r="L166" s="227">
        <v>3646.5979859209001</v>
      </c>
      <c r="M166" s="226">
        <f t="shared" ref="M166:M188" si="108">L166/$L$11</f>
        <v>2.844906751426195E-3</v>
      </c>
      <c r="N166" s="226">
        <f>L166*'DADOS BASE'!$I$29</f>
        <v>3590936.7910559685</v>
      </c>
      <c r="O166" s="228"/>
      <c r="P166" s="227">
        <v>0</v>
      </c>
      <c r="Q166" s="226">
        <f>P166*'DADOS BASE'!$I$33</f>
        <v>0</v>
      </c>
      <c r="R166" s="226"/>
      <c r="S166" s="227">
        <v>24.788900893967</v>
      </c>
      <c r="T166" s="226">
        <f>S166*'DADOS BASE'!$I$37</f>
        <v>19528.421081493387</v>
      </c>
      <c r="U166" s="226"/>
      <c r="V166" s="226">
        <f t="shared" ref="V166:V188" si="109">T166+Q166</f>
        <v>19528.421081493387</v>
      </c>
      <c r="W166" s="228"/>
      <c r="X166" s="226"/>
      <c r="Y166" s="226"/>
      <c r="Z166" s="224"/>
      <c r="AA166" s="226"/>
      <c r="AB166" s="226"/>
      <c r="AC166" s="226"/>
      <c r="AD166" s="226"/>
      <c r="AE166" s="227">
        <v>1367</v>
      </c>
      <c r="AF166" s="227">
        <v>1150.9347094723</v>
      </c>
      <c r="AG166" s="226" t="s">
        <v>155</v>
      </c>
      <c r="AH166" s="229">
        <v>0.72099999999999997</v>
      </c>
      <c r="AI166" s="225">
        <f t="shared" ref="AI166:AI188" si="110">AF166*AH166</f>
        <v>829.82392552952831</v>
      </c>
      <c r="AJ166" s="226">
        <f t="shared" ref="AJ166:AJ188" si="111">(AH166-$AI$12)*$AJ$12</f>
        <v>-1.7894415026540422E-3</v>
      </c>
      <c r="AK166" s="226"/>
      <c r="AL166" s="226">
        <f t="shared" ref="AL166:AL188" si="112">$AL$11-(AJ166*$AL$11)</f>
        <v>179.99789463032585</v>
      </c>
      <c r="AM166" s="228">
        <f t="shared" ref="AM166:AM188" si="113">AF166*AL166</f>
        <v>207165.82456197974</v>
      </c>
      <c r="AN166" s="226"/>
      <c r="AO166" s="227">
        <v>1.7289719626168001</v>
      </c>
      <c r="AP166" s="225"/>
      <c r="AQ166" s="226">
        <f t="shared" ref="AQ166:AQ188" si="114">AF166*AO166</f>
        <v>1989.9338434801191</v>
      </c>
      <c r="AR166" s="226">
        <f t="shared" ref="AR166:AR188" si="115">AQ166/$AQ$11</f>
        <v>2.1172689964644772E-3</v>
      </c>
      <c r="AS166" s="228">
        <f>AR166*'DADOS BASE'!W$38</f>
        <v>635127.27536764299</v>
      </c>
      <c r="AT166" s="225"/>
      <c r="AU166" s="227">
        <v>12.394450446983999</v>
      </c>
      <c r="AV166" s="227">
        <v>12.5</v>
      </c>
      <c r="AW166" s="226">
        <f t="shared" ref="AW166:AW188" si="116">AU166/4</f>
        <v>3.0986126117459998</v>
      </c>
      <c r="AX166" s="226">
        <f>IF($AW$11&gt;0,(AW166/$AW$11)*'DADOS BASE'!W$40,0)</f>
        <v>556.74747934322045</v>
      </c>
      <c r="AY166" s="226">
        <f t="shared" ref="AY166:AY188" si="117">AO166*AW166</f>
        <v>5.3574143287196501</v>
      </c>
      <c r="AZ166" s="226">
        <f t="shared" ref="AZ166:AZ188" si="118">IF($AY$11&gt;0,AY166/$AY$11,0)</f>
        <v>2.8019445953727764E-4</v>
      </c>
      <c r="BA166" s="226">
        <f>AZ166*'DADOS BASE'!W$41</f>
        <v>2070.0356942341386</v>
      </c>
      <c r="BB166" s="225"/>
      <c r="BC166" s="227">
        <v>100</v>
      </c>
      <c r="BD166" s="226">
        <f>IF($BC$11&gt;0,(BC166/$BC$11)*'DADOS BASE'!W$39,0)</f>
        <v>540320.40125139884</v>
      </c>
      <c r="BE166" s="187"/>
    </row>
    <row r="167" spans="2:57" x14ac:dyDescent="0.3">
      <c r="B167" s="184" t="s">
        <v>297</v>
      </c>
      <c r="C167" s="184" t="s">
        <v>300</v>
      </c>
      <c r="D167" s="184" t="s">
        <v>94</v>
      </c>
      <c r="E167" s="184">
        <v>0</v>
      </c>
      <c r="F167" s="185"/>
      <c r="H167" s="186">
        <f ca="1">IF(AND(E167&gt;=2018,SUMIF('DADOS BASE'!$C$101:$D$104,D167,'DADOS BASE'!$H$101:$H$104)&gt;J167),
SUMIF('DADOS BASE'!$C$101:$D$104,D167,'DADOS BASE'!$H$101:$H$104),
J167)</f>
        <v>2206904.9536641054</v>
      </c>
      <c r="J167" s="186">
        <f t="shared" si="107"/>
        <v>2206904.9536641054</v>
      </c>
      <c r="K167" s="186"/>
      <c r="L167" s="188">
        <v>2237.0577922264001</v>
      </c>
      <c r="M167" s="186">
        <f t="shared" si="108"/>
        <v>1.7452488157474438E-3</v>
      </c>
      <c r="N167" s="186">
        <f>L167*'DADOS BASE'!$I$29</f>
        <v>2202911.6345808427</v>
      </c>
      <c r="O167" s="187"/>
      <c r="P167" s="188">
        <v>0</v>
      </c>
      <c r="Q167" s="186">
        <f>P167*'DADOS BASE'!$I$33</f>
        <v>0</v>
      </c>
      <c r="R167" s="186"/>
      <c r="S167" s="188">
        <v>5.0690217391303998</v>
      </c>
      <c r="T167" s="186">
        <f>S167*'DADOS BASE'!$I$37</f>
        <v>3993.3190832625446</v>
      </c>
      <c r="U167" s="186"/>
      <c r="V167" s="186">
        <f t="shared" si="109"/>
        <v>3993.3190832625446</v>
      </c>
      <c r="W167" s="187"/>
      <c r="X167" s="186"/>
      <c r="Y167" s="186"/>
      <c r="Z167" s="185"/>
      <c r="AA167" s="186"/>
      <c r="AB167" s="186"/>
      <c r="AC167" s="186"/>
      <c r="AD167" s="186"/>
      <c r="AE167" s="188">
        <v>1272</v>
      </c>
      <c r="AF167" s="188">
        <v>895.68854816885005</v>
      </c>
      <c r="AG167" s="186" t="s">
        <v>155</v>
      </c>
      <c r="AH167" s="189">
        <v>0.752</v>
      </c>
      <c r="AI167" s="183">
        <f t="shared" si="110"/>
        <v>673.5577882229752</v>
      </c>
      <c r="AJ167" s="186">
        <f t="shared" si="111"/>
        <v>4.0023174452819797E-2</v>
      </c>
      <c r="AK167" s="186"/>
      <c r="AL167" s="186">
        <f t="shared" si="112"/>
        <v>172.48515539673738</v>
      </c>
      <c r="AM167" s="187">
        <f t="shared" si="113"/>
        <v>154492.9784179822</v>
      </c>
      <c r="AN167" s="186"/>
      <c r="AO167" s="188">
        <v>1.3543979504696999</v>
      </c>
      <c r="AQ167" s="186">
        <f t="shared" si="114"/>
        <v>1213.1187338990717</v>
      </c>
      <c r="AR167" s="186">
        <f t="shared" si="115"/>
        <v>1.2907457666144295E-3</v>
      </c>
      <c r="AS167" s="187">
        <f>AR167*'DADOS BASE'!W$38</f>
        <v>387191.16149675142</v>
      </c>
      <c r="AU167" s="188">
        <v>3.6595108695651999</v>
      </c>
      <c r="AV167" s="188">
        <v>12.25</v>
      </c>
      <c r="AW167" s="186">
        <f t="shared" si="116"/>
        <v>0.91487771739129997</v>
      </c>
      <c r="AX167" s="186">
        <f>IF($AW$11&gt;0,(AW167/$AW$11)*'DADOS BASE'!W$40,0)</f>
        <v>164.38191116051604</v>
      </c>
      <c r="AY167" s="186">
        <f t="shared" si="117"/>
        <v>1.239108505365174</v>
      </c>
      <c r="AZ167" s="186">
        <f t="shared" si="118"/>
        <v>6.4805765741813152E-5</v>
      </c>
      <c r="BA167" s="186">
        <f>AZ167*'DADOS BASE'!W$41</f>
        <v>478.77552075536852</v>
      </c>
      <c r="BC167" s="188">
        <v>0</v>
      </c>
      <c r="BD167" s="186">
        <f>IF($BC$11&gt;0,(BC167/$BC$11)*'DADOS BASE'!W$39,0)</f>
        <v>0</v>
      </c>
      <c r="BE167" s="187"/>
    </row>
    <row r="168" spans="2:57" x14ac:dyDescent="0.3">
      <c r="B168" s="223" t="s">
        <v>297</v>
      </c>
      <c r="C168" s="223" t="s">
        <v>301</v>
      </c>
      <c r="D168" s="223" t="s">
        <v>96</v>
      </c>
      <c r="E168" s="223">
        <v>0</v>
      </c>
      <c r="F168" s="224"/>
      <c r="G168" s="225"/>
      <c r="H168" s="226">
        <f ca="1">IF(AND(E168&gt;=2018,SUMIF('DADOS BASE'!$C$101:$D$104,D168,'DADOS BASE'!$H$101:$H$104)&gt;J168),
SUMIF('DADOS BASE'!$C$101:$D$104,D168,'DADOS BASE'!$H$101:$H$104),
J168)</f>
        <v>428923.2985416975</v>
      </c>
      <c r="I168" s="225"/>
      <c r="J168" s="226">
        <f t="shared" si="107"/>
        <v>428923.2985416975</v>
      </c>
      <c r="K168" s="226"/>
      <c r="L168" s="227">
        <v>418.09945347870001</v>
      </c>
      <c r="M168" s="226">
        <f t="shared" si="108"/>
        <v>3.2618181728874486E-4</v>
      </c>
      <c r="N168" s="226">
        <f>L168*'DADOS BASE'!$I$29</f>
        <v>411717.63808724482</v>
      </c>
      <c r="O168" s="228"/>
      <c r="P168" s="227">
        <v>0</v>
      </c>
      <c r="Q168" s="226">
        <f>P168*'DADOS BASE'!$I$33</f>
        <v>0</v>
      </c>
      <c r="R168" s="226"/>
      <c r="S168" s="227">
        <v>21.840445269017</v>
      </c>
      <c r="T168" s="226">
        <f>S168*'DADOS BASE'!$I$37</f>
        <v>17205.660454452656</v>
      </c>
      <c r="U168" s="226"/>
      <c r="V168" s="226">
        <f t="shared" si="109"/>
        <v>17205.660454452656</v>
      </c>
      <c r="W168" s="228"/>
      <c r="X168" s="226"/>
      <c r="Y168" s="226"/>
      <c r="Z168" s="224"/>
      <c r="AA168" s="226"/>
      <c r="AB168" s="226"/>
      <c r="AC168" s="226"/>
      <c r="AD168" s="226"/>
      <c r="AE168" s="227">
        <v>413</v>
      </c>
      <c r="AF168" s="227">
        <v>290.64783806472002</v>
      </c>
      <c r="AG168" s="226" t="s">
        <v>155</v>
      </c>
      <c r="AH168" s="229">
        <v>0.68600000000000005</v>
      </c>
      <c r="AI168" s="225">
        <f t="shared" si="110"/>
        <v>199.38441691239794</v>
      </c>
      <c r="AJ168" s="226">
        <f t="shared" si="111"/>
        <v>-4.8997233710446939E-2</v>
      </c>
      <c r="AK168" s="226"/>
      <c r="AL168" s="226">
        <f t="shared" si="112"/>
        <v>188.48001957147409</v>
      </c>
      <c r="AM168" s="228">
        <f t="shared" si="113"/>
        <v>54781.310206845061</v>
      </c>
      <c r="AN168" s="226"/>
      <c r="AO168" s="227">
        <v>1.4690721649484999</v>
      </c>
      <c r="AP168" s="225"/>
      <c r="AQ168" s="226">
        <f t="shared" si="114"/>
        <v>426.98264870333924</v>
      </c>
      <c r="AR168" s="226">
        <f t="shared" si="115"/>
        <v>4.543051152629414E-4</v>
      </c>
      <c r="AS168" s="228">
        <f>AR168*'DADOS BASE'!W$38</f>
        <v>136280.07141480665</v>
      </c>
      <c r="AT168" s="225"/>
      <c r="AU168" s="227">
        <v>10.920222634508001</v>
      </c>
      <c r="AV168" s="227">
        <v>10</v>
      </c>
      <c r="AW168" s="226">
        <f t="shared" si="116"/>
        <v>2.7300556586270002</v>
      </c>
      <c r="AX168" s="226">
        <f>IF($AW$11&gt;0,(AW168/$AW$11)*'DADOS BASE'!W$40,0)</f>
        <v>490.52650229510903</v>
      </c>
      <c r="AY168" s="226">
        <f t="shared" si="117"/>
        <v>4.0106487768490702</v>
      </c>
      <c r="AZ168" s="226">
        <f t="shared" si="118"/>
        <v>2.0975819629982448E-4</v>
      </c>
      <c r="BA168" s="226">
        <f>AZ168*'DADOS BASE'!W$41</f>
        <v>1549.6628813284585</v>
      </c>
      <c r="BB168" s="225"/>
      <c r="BC168" s="227">
        <v>0</v>
      </c>
      <c r="BD168" s="226">
        <f>IF($BC$11&gt;0,(BC168/$BC$11)*'DADOS BASE'!W$39,0)</f>
        <v>0</v>
      </c>
      <c r="BE168" s="187"/>
    </row>
    <row r="169" spans="2:57" x14ac:dyDescent="0.3">
      <c r="B169" s="184" t="s">
        <v>297</v>
      </c>
      <c r="C169" s="184" t="s">
        <v>302</v>
      </c>
      <c r="D169" s="184" t="s">
        <v>94</v>
      </c>
      <c r="E169" s="184">
        <v>0</v>
      </c>
      <c r="F169" s="185"/>
      <c r="H169" s="186">
        <f ca="1">IF(AND(E169&gt;=2018,SUMIF('DADOS BASE'!$C$101:$D$104,D169,'DADOS BASE'!$H$101:$H$104)&gt;J169),
SUMIF('DADOS BASE'!$C$101:$D$104,D169,'DADOS BASE'!$H$101:$H$104),
J169)</f>
        <v>535592.16334261012</v>
      </c>
      <c r="J169" s="186">
        <f t="shared" si="107"/>
        <v>535592.16334261012</v>
      </c>
      <c r="K169" s="186"/>
      <c r="L169" s="188">
        <v>543.89409164337997</v>
      </c>
      <c r="M169" s="186">
        <f t="shared" si="108"/>
        <v>4.243209641839124E-4</v>
      </c>
      <c r="N169" s="186">
        <f>L169*'DADOS BASE'!$I$29</f>
        <v>535592.16334261012</v>
      </c>
      <c r="O169" s="187"/>
      <c r="P169" s="188">
        <v>0</v>
      </c>
      <c r="Q169" s="186">
        <f>P169*'DADOS BASE'!$I$33</f>
        <v>0</v>
      </c>
      <c r="R169" s="186"/>
      <c r="S169" s="188">
        <v>0</v>
      </c>
      <c r="T169" s="186">
        <f>S169*'DADOS BASE'!$I$37</f>
        <v>0</v>
      </c>
      <c r="U169" s="186"/>
      <c r="V169" s="186">
        <f t="shared" si="109"/>
        <v>0</v>
      </c>
      <c r="W169" s="187"/>
      <c r="X169" s="186"/>
      <c r="Y169" s="186"/>
      <c r="Z169" s="185"/>
      <c r="AA169" s="186"/>
      <c r="AB169" s="186"/>
      <c r="AC169" s="186"/>
      <c r="AD169" s="186"/>
      <c r="AE169" s="188">
        <v>610</v>
      </c>
      <c r="AF169" s="188">
        <v>360.32616448152999</v>
      </c>
      <c r="AG169" s="186" t="s">
        <v>155</v>
      </c>
      <c r="AH169" s="189">
        <v>0.68300000000000005</v>
      </c>
      <c r="AI169" s="183">
        <f t="shared" si="110"/>
        <v>246.102770340885</v>
      </c>
      <c r="AJ169" s="186">
        <f t="shared" si="111"/>
        <v>-5.3043615899686342E-2</v>
      </c>
      <c r="AK169" s="186"/>
      <c r="AL169" s="186">
        <f t="shared" si="112"/>
        <v>189.20705885214394</v>
      </c>
      <c r="AM169" s="187">
        <f t="shared" si="113"/>
        <v>68176.253809024143</v>
      </c>
      <c r="AN169" s="186"/>
      <c r="AO169" s="188">
        <v>1.8187022900762999</v>
      </c>
      <c r="AQ169" s="186">
        <f t="shared" si="114"/>
        <v>655.32602051696813</v>
      </c>
      <c r="AR169" s="186">
        <f t="shared" si="115"/>
        <v>6.9726009754699804E-4</v>
      </c>
      <c r="AS169" s="187">
        <f>AR169*'DADOS BASE'!W$38</f>
        <v>209160.43578642738</v>
      </c>
      <c r="AU169" s="188">
        <v>0</v>
      </c>
      <c r="AV169" s="188">
        <v>0</v>
      </c>
      <c r="AW169" s="186">
        <f t="shared" si="116"/>
        <v>0</v>
      </c>
      <c r="AX169" s="186">
        <f>IF($AW$11&gt;0,(AW169/$AW$11)*'DADOS BASE'!W$40,0)</f>
        <v>0</v>
      </c>
      <c r="AY169" s="186">
        <f t="shared" si="117"/>
        <v>0</v>
      </c>
      <c r="AZ169" s="186">
        <f t="shared" si="118"/>
        <v>0</v>
      </c>
      <c r="BA169" s="186">
        <f>AZ169*'DADOS BASE'!W$41</f>
        <v>0</v>
      </c>
      <c r="BC169" s="188">
        <v>0</v>
      </c>
      <c r="BD169" s="186">
        <f>IF($BC$11&gt;0,(BC169/$BC$11)*'DADOS BASE'!W$39,0)</f>
        <v>0</v>
      </c>
      <c r="BE169" s="187"/>
    </row>
    <row r="170" spans="2:57" x14ac:dyDescent="0.3">
      <c r="B170" s="223" t="s">
        <v>297</v>
      </c>
      <c r="C170" s="223" t="s">
        <v>303</v>
      </c>
      <c r="D170" s="223" t="s">
        <v>94</v>
      </c>
      <c r="E170" s="223">
        <v>2009</v>
      </c>
      <c r="F170" s="224"/>
      <c r="G170" s="225"/>
      <c r="H170" s="226">
        <f ca="1">IF(AND(E170&gt;=2018,SUMIF('DADOS BASE'!$C$101:$D$104,D170,'DADOS BASE'!$H$101:$H$104)&gt;J170),
SUMIF('DADOS BASE'!$C$101:$D$104,D170,'DADOS BASE'!$H$101:$H$104),
J170)</f>
        <v>2289499.2483509141</v>
      </c>
      <c r="I170" s="225"/>
      <c r="J170" s="226">
        <f t="shared" si="107"/>
        <v>2289499.2483509141</v>
      </c>
      <c r="K170" s="226"/>
      <c r="L170" s="227">
        <v>2133.3506775475998</v>
      </c>
      <c r="M170" s="226">
        <f t="shared" si="108"/>
        <v>1.6643413310563004E-3</v>
      </c>
      <c r="N170" s="226">
        <f>L170*'DADOS BASE'!$I$29</f>
        <v>2100787.4917408093</v>
      </c>
      <c r="O170" s="228"/>
      <c r="P170" s="227">
        <v>686.36668905305999</v>
      </c>
      <c r="Q170" s="226">
        <f>P170*'DADOS BASE'!$I$33</f>
        <v>168972.51941342512</v>
      </c>
      <c r="R170" s="226"/>
      <c r="S170" s="227">
        <v>25.056505723072</v>
      </c>
      <c r="T170" s="226">
        <f>S170*'DADOS BASE'!$I$37</f>
        <v>19739.237196679653</v>
      </c>
      <c r="U170" s="226"/>
      <c r="V170" s="226">
        <f t="shared" si="109"/>
        <v>188711.75661010479</v>
      </c>
      <c r="W170" s="228"/>
      <c r="X170" s="226"/>
      <c r="Y170" s="226"/>
      <c r="Z170" s="224"/>
      <c r="AA170" s="226"/>
      <c r="AB170" s="226"/>
      <c r="AC170" s="226"/>
      <c r="AD170" s="226"/>
      <c r="AE170" s="227">
        <v>1481</v>
      </c>
      <c r="AF170" s="227">
        <v>1003.0529963735</v>
      </c>
      <c r="AG170" s="226" t="s">
        <v>155</v>
      </c>
      <c r="AH170" s="229">
        <v>0.746</v>
      </c>
      <c r="AI170" s="225">
        <f t="shared" si="110"/>
        <v>748.27753529463098</v>
      </c>
      <c r="AJ170" s="226">
        <f t="shared" si="111"/>
        <v>3.1930410074340991E-2</v>
      </c>
      <c r="AK170" s="226"/>
      <c r="AL170" s="226">
        <f t="shared" si="112"/>
        <v>173.9392339580771</v>
      </c>
      <c r="AM170" s="228">
        <f t="shared" si="113"/>
        <v>174470.26980856049</v>
      </c>
      <c r="AN170" s="226"/>
      <c r="AO170" s="227">
        <v>1.7072389493914</v>
      </c>
      <c r="AP170" s="225"/>
      <c r="AQ170" s="226">
        <f t="shared" si="114"/>
        <v>1712.45114371259</v>
      </c>
      <c r="AR170" s="226">
        <f t="shared" si="115"/>
        <v>1.8220302782538335E-3</v>
      </c>
      <c r="AS170" s="228">
        <f>AR170*'DADOS BASE'!W$38</f>
        <v>546563.10945708456</v>
      </c>
      <c r="AT170" s="225"/>
      <c r="AU170" s="227">
        <v>12.528252861536</v>
      </c>
      <c r="AV170" s="227">
        <v>83.25</v>
      </c>
      <c r="AW170" s="226">
        <f t="shared" si="116"/>
        <v>3.132063215384</v>
      </c>
      <c r="AX170" s="226">
        <f>IF($AW$11&gt;0,(AW170/$AW$11)*'DADOS BASE'!W$40,0)</f>
        <v>562.75776252201115</v>
      </c>
      <c r="AY170" s="226">
        <f t="shared" si="117"/>
        <v>5.3471803132596305</v>
      </c>
      <c r="AZ170" s="226">
        <f t="shared" si="118"/>
        <v>2.7965921730011402E-4</v>
      </c>
      <c r="BA170" s="226">
        <f>AZ170*'DADOS BASE'!W$41</f>
        <v>2066.0814028544296</v>
      </c>
      <c r="BB170" s="225"/>
      <c r="BC170" s="227">
        <v>0</v>
      </c>
      <c r="BD170" s="226">
        <f>IF($BC$11&gt;0,(BC170/$BC$11)*'DADOS BASE'!W$39,0)</f>
        <v>0</v>
      </c>
      <c r="BE170" s="187"/>
    </row>
    <row r="171" spans="2:57" x14ac:dyDescent="0.3">
      <c r="B171" s="184" t="s">
        <v>297</v>
      </c>
      <c r="C171" s="184" t="s">
        <v>304</v>
      </c>
      <c r="D171" s="184" t="s">
        <v>94</v>
      </c>
      <c r="E171" s="184">
        <v>0</v>
      </c>
      <c r="F171" s="185"/>
      <c r="H171" s="186">
        <f ca="1">IF(AND(E171&gt;=2018,SUMIF('DADOS BASE'!$C$101:$D$104,D171,'DADOS BASE'!$H$101:$H$104)&gt;J171),
SUMIF('DADOS BASE'!$C$101:$D$104,D171,'DADOS BASE'!$H$101:$H$104),
J171)</f>
        <v>2250361.900073159</v>
      </c>
      <c r="J171" s="186">
        <f t="shared" si="107"/>
        <v>2250361.900073159</v>
      </c>
      <c r="K171" s="186"/>
      <c r="L171" s="188">
        <v>2265.6022045089999</v>
      </c>
      <c r="M171" s="186">
        <f t="shared" si="108"/>
        <v>1.7675178433539385E-3</v>
      </c>
      <c r="N171" s="186">
        <f>L171*'DADOS BASE'!$I$29</f>
        <v>2231020.3486865386</v>
      </c>
      <c r="O171" s="187"/>
      <c r="P171" s="188">
        <v>0</v>
      </c>
      <c r="Q171" s="186">
        <f>P171*'DADOS BASE'!$I$33</f>
        <v>0</v>
      </c>
      <c r="R171" s="186"/>
      <c r="S171" s="188">
        <v>24.551693066106001</v>
      </c>
      <c r="T171" s="186">
        <f>S171*'DADOS BASE'!$I$37</f>
        <v>19341.551386620253</v>
      </c>
      <c r="U171" s="186"/>
      <c r="V171" s="186">
        <f t="shared" si="109"/>
        <v>19341.551386620253</v>
      </c>
      <c r="W171" s="187"/>
      <c r="X171" s="186"/>
      <c r="Y171" s="186"/>
      <c r="Z171" s="185"/>
      <c r="AA171" s="186"/>
      <c r="AB171" s="186"/>
      <c r="AC171" s="186"/>
      <c r="AD171" s="186"/>
      <c r="AE171" s="188">
        <v>1768</v>
      </c>
      <c r="AF171" s="188">
        <v>1172.7039961718001</v>
      </c>
      <c r="AG171" s="186" t="s">
        <v>155</v>
      </c>
      <c r="AH171" s="189">
        <v>0.71799999999999997</v>
      </c>
      <c r="AI171" s="183">
        <f t="shared" si="110"/>
        <v>842.00146925135243</v>
      </c>
      <c r="AJ171" s="186">
        <f t="shared" si="111"/>
        <v>-5.8358236918934457E-3</v>
      </c>
      <c r="AK171" s="186"/>
      <c r="AL171" s="186">
        <f t="shared" si="112"/>
        <v>180.7249339109957</v>
      </c>
      <c r="AM171" s="187">
        <f t="shared" si="113"/>
        <v>211936.85220530914</v>
      </c>
      <c r="AN171" s="186"/>
      <c r="AO171" s="188">
        <v>1.669387755102</v>
      </c>
      <c r="AQ171" s="186">
        <f t="shared" si="114"/>
        <v>1957.6976915683858</v>
      </c>
      <c r="AR171" s="186">
        <f t="shared" si="115"/>
        <v>2.0829700647529248E-3</v>
      </c>
      <c r="AS171" s="187">
        <f>AR171*'DADOS BASE'!W$38</f>
        <v>624838.46129519609</v>
      </c>
      <c r="AU171" s="188">
        <v>12.275846533053</v>
      </c>
      <c r="AV171" s="188">
        <v>14.5</v>
      </c>
      <c r="AW171" s="186">
        <f t="shared" si="116"/>
        <v>3.0689616332632501</v>
      </c>
      <c r="AX171" s="186">
        <f>IF($AW$11&gt;0,(AW171/$AW$11)*'DADOS BASE'!W$40,0)</f>
        <v>551.41989903590706</v>
      </c>
      <c r="AY171" s="186">
        <f t="shared" si="117"/>
        <v>5.1232869714475049</v>
      </c>
      <c r="AZ171" s="186">
        <f t="shared" si="118"/>
        <v>2.6794952488996284E-4</v>
      </c>
      <c r="BA171" s="186">
        <f>AZ171*'DADOS BASE'!W$41</f>
        <v>1979.5719076361966</v>
      </c>
      <c r="BC171" s="188">
        <v>0</v>
      </c>
      <c r="BD171" s="186">
        <f>IF($BC$11&gt;0,(BC171/$BC$11)*'DADOS BASE'!W$39,0)</f>
        <v>0</v>
      </c>
      <c r="BE171" s="187"/>
    </row>
    <row r="172" spans="2:57" x14ac:dyDescent="0.3">
      <c r="B172" s="223" t="s">
        <v>297</v>
      </c>
      <c r="C172" s="223" t="s">
        <v>305</v>
      </c>
      <c r="D172" s="223" t="s">
        <v>94</v>
      </c>
      <c r="E172" s="223">
        <v>0</v>
      </c>
      <c r="F172" s="224"/>
      <c r="G172" s="225"/>
      <c r="H172" s="226">
        <f ca="1">IF(AND(E172&gt;=2018,SUMIF('DADOS BASE'!$C$101:$D$104,D172,'DADOS BASE'!$H$101:$H$104)&gt;J172),
SUMIF('DADOS BASE'!$C$101:$D$104,D172,'DADOS BASE'!$H$101:$H$104),
J172)</f>
        <v>955835.97786415718</v>
      </c>
      <c r="I172" s="225"/>
      <c r="J172" s="226">
        <f t="shared" si="107"/>
        <v>955835.97786415718</v>
      </c>
      <c r="K172" s="226"/>
      <c r="L172" s="227">
        <v>951.25329859006001</v>
      </c>
      <c r="M172" s="226">
        <f t="shared" si="108"/>
        <v>7.4212373887215825E-4</v>
      </c>
      <c r="N172" s="226">
        <f>L172*'DADOS BASE'!$I$29</f>
        <v>936733.49261661398</v>
      </c>
      <c r="O172" s="228"/>
      <c r="P172" s="227">
        <v>0</v>
      </c>
      <c r="Q172" s="226">
        <f>P172*'DADOS BASE'!$I$33</f>
        <v>0</v>
      </c>
      <c r="R172" s="226"/>
      <c r="S172" s="227">
        <v>24.248228346457001</v>
      </c>
      <c r="T172" s="226">
        <f>S172*'DADOS BASE'!$I$37</f>
        <v>19102.485247543256</v>
      </c>
      <c r="U172" s="226"/>
      <c r="V172" s="226">
        <f t="shared" si="109"/>
        <v>19102.485247543256</v>
      </c>
      <c r="W172" s="228"/>
      <c r="X172" s="226"/>
      <c r="Y172" s="226"/>
      <c r="Z172" s="224"/>
      <c r="AA172" s="226"/>
      <c r="AB172" s="226"/>
      <c r="AC172" s="226"/>
      <c r="AD172" s="226"/>
      <c r="AE172" s="227">
        <v>487</v>
      </c>
      <c r="AF172" s="227">
        <v>440.44782626173998</v>
      </c>
      <c r="AG172" s="226" t="s">
        <v>155</v>
      </c>
      <c r="AH172" s="229">
        <v>0.67100000000000004</v>
      </c>
      <c r="AI172" s="225">
        <f t="shared" si="110"/>
        <v>295.54049142162756</v>
      </c>
      <c r="AJ172" s="226">
        <f t="shared" si="111"/>
        <v>-6.9229144656643954E-2</v>
      </c>
      <c r="AK172" s="226"/>
      <c r="AL172" s="226">
        <f t="shared" si="112"/>
        <v>192.11521597482334</v>
      </c>
      <c r="AM172" s="228">
        <f t="shared" si="113"/>
        <v>84616.729267915638</v>
      </c>
      <c r="AN172" s="226"/>
      <c r="AO172" s="227">
        <v>1.7310061601643001</v>
      </c>
      <c r="AP172" s="225"/>
      <c r="AQ172" s="226">
        <f t="shared" si="114"/>
        <v>762.41790049004726</v>
      </c>
      <c r="AR172" s="226">
        <f t="shared" si="115"/>
        <v>8.112047485126575E-4</v>
      </c>
      <c r="AS172" s="228">
        <f>AR172*'DADOS BASE'!W$38</f>
        <v>243340.95599022877</v>
      </c>
      <c r="AT172" s="225"/>
      <c r="AU172" s="227">
        <v>12.661614173227999</v>
      </c>
      <c r="AV172" s="227">
        <v>20.75</v>
      </c>
      <c r="AW172" s="226">
        <f t="shared" si="116"/>
        <v>3.1654035433069998</v>
      </c>
      <c r="AX172" s="226">
        <f>IF($AW$11&gt;0,(AW172/$AW$11)*'DADOS BASE'!W$40,0)</f>
        <v>568.74823176016059</v>
      </c>
      <c r="AY172" s="226">
        <f t="shared" si="117"/>
        <v>5.4793330328703194</v>
      </c>
      <c r="AZ172" s="226">
        <f t="shared" si="118"/>
        <v>2.8657084622700117E-4</v>
      </c>
      <c r="BA172" s="226">
        <f>AZ172*'DADOS BASE'!W$41</f>
        <v>2117.143506678985</v>
      </c>
      <c r="BB172" s="225"/>
      <c r="BC172" s="227">
        <v>0</v>
      </c>
      <c r="BD172" s="226">
        <f>IF($BC$11&gt;0,(BC172/$BC$11)*'DADOS BASE'!W$39,0)</f>
        <v>0</v>
      </c>
      <c r="BE172" s="187"/>
    </row>
    <row r="173" spans="2:57" x14ac:dyDescent="0.3">
      <c r="B173" s="184" t="s">
        <v>297</v>
      </c>
      <c r="C173" s="184" t="s">
        <v>306</v>
      </c>
      <c r="D173" s="184" t="s">
        <v>94</v>
      </c>
      <c r="E173" s="184">
        <v>0</v>
      </c>
      <c r="F173" s="185"/>
      <c r="H173" s="186">
        <f ca="1">IF(AND(E173&gt;=2018,SUMIF('DADOS BASE'!$C$101:$D$104,D173,'DADOS BASE'!$H$101:$H$104)&gt;J173),
SUMIF('DADOS BASE'!$C$101:$D$104,D173,'DADOS BASE'!$H$101:$H$104),
J173)</f>
        <v>3683020.9974252195</v>
      </c>
      <c r="J173" s="186">
        <f t="shared" si="107"/>
        <v>3683020.9974252195</v>
      </c>
      <c r="K173" s="186"/>
      <c r="L173" s="188">
        <v>1606.6060621706999</v>
      </c>
      <c r="M173" s="186">
        <f t="shared" si="108"/>
        <v>1.2533995934836842E-3</v>
      </c>
      <c r="N173" s="186">
        <f>L173*'DADOS BASE'!$I$29</f>
        <v>1582083.0373012391</v>
      </c>
      <c r="O173" s="187"/>
      <c r="P173" s="188">
        <v>0</v>
      </c>
      <c r="Q173" s="186">
        <f>P173*'DADOS BASE'!$I$33</f>
        <v>0</v>
      </c>
      <c r="R173" s="186"/>
      <c r="S173" s="188">
        <v>2666.8793478261</v>
      </c>
      <c r="T173" s="186">
        <f>S173*'DADOS BASE'!$I$37</f>
        <v>2100937.9601239804</v>
      </c>
      <c r="U173" s="186"/>
      <c r="V173" s="186">
        <f t="shared" si="109"/>
        <v>2100937.9601239804</v>
      </c>
      <c r="W173" s="187"/>
      <c r="X173" s="186"/>
      <c r="Y173" s="186"/>
      <c r="Z173" s="185"/>
      <c r="AA173" s="186"/>
      <c r="AB173" s="186"/>
      <c r="AC173" s="186"/>
      <c r="AD173" s="186"/>
      <c r="AE173" s="188">
        <v>1264</v>
      </c>
      <c r="AF173" s="188">
        <v>943.99628885739003</v>
      </c>
      <c r="AG173" s="186" t="s">
        <v>155</v>
      </c>
      <c r="AH173" s="189">
        <v>0.746</v>
      </c>
      <c r="AI173" s="183">
        <f t="shared" si="110"/>
        <v>704.22123148761295</v>
      </c>
      <c r="AJ173" s="186">
        <f t="shared" si="111"/>
        <v>3.1930410074340991E-2</v>
      </c>
      <c r="AK173" s="186"/>
      <c r="AL173" s="186">
        <f t="shared" si="112"/>
        <v>173.9392339580771</v>
      </c>
      <c r="AM173" s="187">
        <f t="shared" si="113"/>
        <v>164197.99134312209</v>
      </c>
      <c r="AN173" s="186"/>
      <c r="AO173" s="188">
        <v>1.1928620452986001</v>
      </c>
      <c r="AQ173" s="186">
        <f t="shared" si="114"/>
        <v>1126.0573438807144</v>
      </c>
      <c r="AR173" s="186">
        <f t="shared" si="115"/>
        <v>1.1981133494720598E-3</v>
      </c>
      <c r="AS173" s="187">
        <f>AR173*'DADOS BASE'!W$38</f>
        <v>359403.77368320711</v>
      </c>
      <c r="AU173" s="188">
        <v>1333.702173913</v>
      </c>
      <c r="AV173" s="188">
        <v>748.25</v>
      </c>
      <c r="AW173" s="186">
        <f t="shared" si="116"/>
        <v>333.42554347825001</v>
      </c>
      <c r="AX173" s="186">
        <f>IF($AW$11&gt;0,(AW173/$AW$11)*'DADOS BASE'!W$40,0)</f>
        <v>59908.692740896855</v>
      </c>
      <c r="AY173" s="186">
        <f t="shared" si="117"/>
        <v>397.73067574826263</v>
      </c>
      <c r="AZ173" s="186">
        <f t="shared" si="118"/>
        <v>2.0801439816829283E-2</v>
      </c>
      <c r="BA173" s="186">
        <f>AZ173*'DADOS BASE'!W$41</f>
        <v>153677.99557282502</v>
      </c>
      <c r="BC173" s="188">
        <v>0</v>
      </c>
      <c r="BD173" s="186">
        <f>IF($BC$11&gt;0,(BC173/$BC$11)*'DADOS BASE'!W$39,0)</f>
        <v>0</v>
      </c>
      <c r="BE173" s="187"/>
    </row>
    <row r="174" spans="2:57" x14ac:dyDescent="0.3">
      <c r="B174" s="223" t="s">
        <v>297</v>
      </c>
      <c r="C174" s="223" t="s">
        <v>307</v>
      </c>
      <c r="D174" s="223" t="s">
        <v>94</v>
      </c>
      <c r="E174" s="223">
        <v>0</v>
      </c>
      <c r="F174" s="224"/>
      <c r="G174" s="225"/>
      <c r="H174" s="226">
        <f ca="1">IF(AND(E174&gt;=2018,SUMIF('DADOS BASE'!$C$101:$D$104,D174,'DADOS BASE'!$H$101:$H$104)&gt;J174),
SUMIF('DADOS BASE'!$C$101:$D$104,D174,'DADOS BASE'!$H$101:$H$104),
J174)</f>
        <v>1681407.1793210227</v>
      </c>
      <c r="I174" s="225"/>
      <c r="J174" s="226">
        <f t="shared" si="107"/>
        <v>1681407.1793210227</v>
      </c>
      <c r="K174" s="226"/>
      <c r="L174" s="227">
        <v>1703.896628237</v>
      </c>
      <c r="M174" s="226">
        <f t="shared" si="108"/>
        <v>1.3293011843145681E-3</v>
      </c>
      <c r="N174" s="226">
        <f>L174*'DADOS BASE'!$I$29</f>
        <v>1677888.5728878307</v>
      </c>
      <c r="O174" s="228"/>
      <c r="P174" s="227">
        <v>0</v>
      </c>
      <c r="Q174" s="226">
        <f>P174*'DADOS BASE'!$I$33</f>
        <v>0</v>
      </c>
      <c r="R174" s="226"/>
      <c r="S174" s="227">
        <v>4.4664330922242002</v>
      </c>
      <c r="T174" s="226">
        <f>S174*'DADOS BASE'!$I$37</f>
        <v>3518.606433191982</v>
      </c>
      <c r="U174" s="226"/>
      <c r="V174" s="226">
        <f t="shared" si="109"/>
        <v>3518.606433191982</v>
      </c>
      <c r="W174" s="228"/>
      <c r="X174" s="226"/>
      <c r="Y174" s="226"/>
      <c r="Z174" s="224"/>
      <c r="AA174" s="226"/>
      <c r="AB174" s="226"/>
      <c r="AC174" s="226"/>
      <c r="AD174" s="226"/>
      <c r="AE174" s="227">
        <v>1445</v>
      </c>
      <c r="AF174" s="227">
        <v>854.69890619444004</v>
      </c>
      <c r="AG174" s="226" t="s">
        <v>155</v>
      </c>
      <c r="AH174" s="229">
        <v>0.73099999999999998</v>
      </c>
      <c r="AI174" s="225">
        <f t="shared" si="110"/>
        <v>624.78490042813564</v>
      </c>
      <c r="AJ174" s="226">
        <f t="shared" si="111"/>
        <v>1.169849912814397E-2</v>
      </c>
      <c r="AK174" s="226"/>
      <c r="AL174" s="226">
        <f t="shared" si="112"/>
        <v>177.57443036142635</v>
      </c>
      <c r="AM174" s="228">
        <f t="shared" si="113"/>
        <v>151772.67139801188</v>
      </c>
      <c r="AN174" s="226"/>
      <c r="AO174" s="227">
        <v>1.6639722863741</v>
      </c>
      <c r="AP174" s="225"/>
      <c r="AQ174" s="226">
        <f t="shared" si="114"/>
        <v>1422.1952931018047</v>
      </c>
      <c r="AR174" s="226">
        <f t="shared" si="115"/>
        <v>1.5132010598583726E-3</v>
      </c>
      <c r="AS174" s="228">
        <f>AR174*'DADOS BASE'!W$38</f>
        <v>453922.13641069224</v>
      </c>
      <c r="AT174" s="225"/>
      <c r="AU174" s="227">
        <v>4.4664330922242002</v>
      </c>
      <c r="AV174" s="227">
        <v>18.75</v>
      </c>
      <c r="AW174" s="226">
        <f t="shared" si="116"/>
        <v>1.11660827305605</v>
      </c>
      <c r="AX174" s="226">
        <f>IF($AW$11&gt;0,(AW174/$AW$11)*'DADOS BASE'!W$40,0)</f>
        <v>200.6281259816617</v>
      </c>
      <c r="AY174" s="226">
        <f t="shared" si="117"/>
        <v>1.8580052211013109</v>
      </c>
      <c r="AZ174" s="226">
        <f t="shared" si="118"/>
        <v>9.7174259222982084E-5</v>
      </c>
      <c r="BA174" s="226">
        <f>AZ174*'DADOS BASE'!W$41</f>
        <v>717.90921735043048</v>
      </c>
      <c r="BB174" s="225"/>
      <c r="BC174" s="227">
        <v>0</v>
      </c>
      <c r="BD174" s="226">
        <f>IF($BC$11&gt;0,(BC174/$BC$11)*'DADOS BASE'!W$39,0)</f>
        <v>0</v>
      </c>
      <c r="BE174" s="187"/>
    </row>
    <row r="175" spans="2:57" x14ac:dyDescent="0.3">
      <c r="B175" s="184" t="s">
        <v>297</v>
      </c>
      <c r="C175" s="184" t="s">
        <v>308</v>
      </c>
      <c r="D175" s="184" t="s">
        <v>94</v>
      </c>
      <c r="E175" s="184">
        <v>0</v>
      </c>
      <c r="F175" s="185"/>
      <c r="H175" s="186">
        <f ca="1">IF(AND(E175&gt;=2018,SUMIF('DADOS BASE'!$C$101:$D$104,D175,'DADOS BASE'!$H$101:$H$104)&gt;J175),
SUMIF('DADOS BASE'!$C$101:$D$104,D175,'DADOS BASE'!$H$101:$H$104),
J175)</f>
        <v>1422834.7570297609</v>
      </c>
      <c r="J175" s="186">
        <f t="shared" si="107"/>
        <v>1422834.7570297609</v>
      </c>
      <c r="K175" s="186"/>
      <c r="L175" s="188">
        <v>1443.4493592909</v>
      </c>
      <c r="M175" s="186">
        <f t="shared" si="108"/>
        <v>1.1261122951976457E-3</v>
      </c>
      <c r="N175" s="186">
        <f>L175*'DADOS BASE'!$I$29</f>
        <v>1421416.737001481</v>
      </c>
      <c r="O175" s="187"/>
      <c r="P175" s="188">
        <v>0</v>
      </c>
      <c r="Q175" s="186">
        <f>P175*'DADOS BASE'!$I$33</f>
        <v>0</v>
      </c>
      <c r="R175" s="186"/>
      <c r="S175" s="188">
        <v>1.8</v>
      </c>
      <c r="T175" s="186">
        <f>S175*'DADOS BASE'!$I$37</f>
        <v>1418.0200282797939</v>
      </c>
      <c r="U175" s="186"/>
      <c r="V175" s="186">
        <f t="shared" si="109"/>
        <v>1418.0200282797939</v>
      </c>
      <c r="W175" s="187"/>
      <c r="X175" s="186"/>
      <c r="Y175" s="186"/>
      <c r="Z175" s="185"/>
      <c r="AA175" s="186"/>
      <c r="AB175" s="186"/>
      <c r="AC175" s="186"/>
      <c r="AD175" s="186"/>
      <c r="AE175" s="188">
        <v>678</v>
      </c>
      <c r="AF175" s="188">
        <v>627.02723546388995</v>
      </c>
      <c r="AG175" s="186" t="s">
        <v>155</v>
      </c>
      <c r="AH175" s="189">
        <v>0.64700000000000002</v>
      </c>
      <c r="AI175" s="183">
        <f t="shared" si="110"/>
        <v>405.68662134513681</v>
      </c>
      <c r="AJ175" s="186">
        <f t="shared" si="111"/>
        <v>-0.10160020217055919</v>
      </c>
      <c r="AK175" s="186"/>
      <c r="AL175" s="186">
        <f t="shared" si="112"/>
        <v>197.93153022018214</v>
      </c>
      <c r="AM175" s="187">
        <f t="shared" si="113"/>
        <v>124108.46020509819</v>
      </c>
      <c r="AN175" s="186"/>
      <c r="AO175" s="188">
        <v>1.9553872053871999</v>
      </c>
      <c r="AQ175" s="186">
        <f t="shared" si="114"/>
        <v>1226.0810336553975</v>
      </c>
      <c r="AR175" s="186">
        <f t="shared" si="115"/>
        <v>1.3045375192834283E-3</v>
      </c>
      <c r="AS175" s="187">
        <f>AR175*'DADOS BASE'!W$38</f>
        <v>391328.3392997763</v>
      </c>
      <c r="AU175" s="188">
        <v>1.8</v>
      </c>
      <c r="AV175" s="188">
        <v>15</v>
      </c>
      <c r="AW175" s="186">
        <f t="shared" si="116"/>
        <v>0.45</v>
      </c>
      <c r="AX175" s="186">
        <f>IF($AW$11&gt;0,(AW175/$AW$11)*'DADOS BASE'!W$40,0)</f>
        <v>80.854368421122985</v>
      </c>
      <c r="AY175" s="186">
        <f t="shared" si="117"/>
        <v>0.87992424242423994</v>
      </c>
      <c r="AZ175" s="186">
        <f t="shared" si="118"/>
        <v>4.6020315475344331E-5</v>
      </c>
      <c r="BA175" s="186">
        <f>AZ175*'DADOS BASE'!W$41</f>
        <v>339.99136118251613</v>
      </c>
      <c r="BC175" s="188">
        <v>0</v>
      </c>
      <c r="BD175" s="186">
        <f>IF($BC$11&gt;0,(BC175/$BC$11)*'DADOS BASE'!W$39,0)</f>
        <v>0</v>
      </c>
      <c r="BE175" s="187"/>
    </row>
    <row r="176" spans="2:57" x14ac:dyDescent="0.3">
      <c r="B176" s="223" t="s">
        <v>297</v>
      </c>
      <c r="C176" s="223" t="s">
        <v>309</v>
      </c>
      <c r="D176" s="223" t="s">
        <v>92</v>
      </c>
      <c r="E176" s="223">
        <v>0</v>
      </c>
      <c r="F176" s="224"/>
      <c r="G176" s="225"/>
      <c r="H176" s="226">
        <f ca="1">IF(AND(E176&gt;=2018,SUMIF('DADOS BASE'!$C$101:$D$104,D176,'DADOS BASE'!$H$101:$H$104)&gt;J176),
SUMIF('DADOS BASE'!$C$101:$D$104,D176,'DADOS BASE'!$H$101:$H$104),
J176)</f>
        <v>4315526.6738644941</v>
      </c>
      <c r="I176" s="225"/>
      <c r="J176" s="226">
        <f t="shared" si="107"/>
        <v>4315526.6738644941</v>
      </c>
      <c r="K176" s="226"/>
      <c r="L176" s="227">
        <v>4363.8418864800997</v>
      </c>
      <c r="M176" s="226">
        <f t="shared" si="108"/>
        <v>3.4044672028382328E-3</v>
      </c>
      <c r="N176" s="226">
        <f>L176*'DADOS BASE'!$I$29</f>
        <v>4297232.7744965693</v>
      </c>
      <c r="O176" s="228"/>
      <c r="P176" s="227">
        <v>0</v>
      </c>
      <c r="Q176" s="226">
        <f>P176*'DADOS BASE'!$I$33</f>
        <v>0</v>
      </c>
      <c r="R176" s="226"/>
      <c r="S176" s="227">
        <v>23.221829174170001</v>
      </c>
      <c r="T176" s="226">
        <f>S176*'DADOS BASE'!$I$37</f>
        <v>18293.899367925049</v>
      </c>
      <c r="U176" s="226"/>
      <c r="V176" s="226">
        <f t="shared" si="109"/>
        <v>18293.899367925049</v>
      </c>
      <c r="W176" s="228"/>
      <c r="X176" s="226"/>
      <c r="Y176" s="226"/>
      <c r="Z176" s="224"/>
      <c r="AA176" s="226"/>
      <c r="AB176" s="226"/>
      <c r="AC176" s="226"/>
      <c r="AD176" s="226"/>
      <c r="AE176" s="227">
        <v>1495</v>
      </c>
      <c r="AF176" s="227">
        <v>1281.6278531552</v>
      </c>
      <c r="AG176" s="226" t="s">
        <v>155</v>
      </c>
      <c r="AH176" s="229">
        <v>0.746</v>
      </c>
      <c r="AI176" s="225">
        <f t="shared" si="110"/>
        <v>956.0943784537792</v>
      </c>
      <c r="AJ176" s="226">
        <f t="shared" si="111"/>
        <v>3.1930410074340991E-2</v>
      </c>
      <c r="AK176" s="226"/>
      <c r="AL176" s="226">
        <f t="shared" si="112"/>
        <v>173.9392339580771</v>
      </c>
      <c r="AM176" s="228">
        <f t="shared" si="113"/>
        <v>222925.36699715041</v>
      </c>
      <c r="AN176" s="226"/>
      <c r="AO176" s="227">
        <v>1.7878892733564</v>
      </c>
      <c r="AP176" s="225"/>
      <c r="AQ176" s="226">
        <f t="shared" si="114"/>
        <v>2291.4086910909737</v>
      </c>
      <c r="AR176" s="226">
        <f t="shared" si="115"/>
        <v>2.4380351114545169E-3</v>
      </c>
      <c r="AS176" s="228">
        <f>AR176*'DADOS BASE'!W$38</f>
        <v>731349.01619702368</v>
      </c>
      <c r="AT176" s="225"/>
      <c r="AU176" s="227">
        <v>11.610914587085</v>
      </c>
      <c r="AV176" s="227">
        <v>13.75</v>
      </c>
      <c r="AW176" s="226">
        <f t="shared" si="116"/>
        <v>2.9027286467712501</v>
      </c>
      <c r="AX176" s="226">
        <f>IF($AW$11&gt;0,(AW176/$AW$11)*'DADOS BASE'!W$40,0)</f>
        <v>521.55175873908979</v>
      </c>
      <c r="AY176" s="226">
        <f t="shared" si="117"/>
        <v>5.1897574110266564</v>
      </c>
      <c r="AZ176" s="226">
        <f t="shared" si="118"/>
        <v>2.7142594984989996E-4</v>
      </c>
      <c r="BA176" s="226">
        <f>AZ176*'DADOS BASE'!W$41</f>
        <v>2005.2552268826962</v>
      </c>
      <c r="BB176" s="225"/>
      <c r="BC176" s="227">
        <v>180</v>
      </c>
      <c r="BD176" s="226">
        <f>IF($BC$11&gt;0,(BC176/$BC$11)*'DADOS BASE'!W$39,0)</f>
        <v>972576.72225251794</v>
      </c>
      <c r="BE176" s="187"/>
    </row>
    <row r="177" spans="2:57" x14ac:dyDescent="0.3">
      <c r="B177" s="184" t="s">
        <v>297</v>
      </c>
      <c r="C177" s="184" t="s">
        <v>310</v>
      </c>
      <c r="D177" s="184" t="s">
        <v>94</v>
      </c>
      <c r="E177" s="184">
        <v>0</v>
      </c>
      <c r="F177" s="185"/>
      <c r="H177" s="186">
        <f ca="1">IF(AND(E177&gt;=2018,SUMIF('DADOS BASE'!$C$101:$D$104,D177,'DADOS BASE'!$H$101:$H$104)&gt;J177),
SUMIF('DADOS BASE'!$C$101:$D$104,D177,'DADOS BASE'!$H$101:$H$104),
J177)</f>
        <v>1762908.9141422829</v>
      </c>
      <c r="J177" s="186">
        <f t="shared" si="107"/>
        <v>1762908.9141422829</v>
      </c>
      <c r="K177" s="186"/>
      <c r="L177" s="188">
        <v>1768.653198274</v>
      </c>
      <c r="M177" s="186">
        <f t="shared" si="108"/>
        <v>1.3798212591922326E-3</v>
      </c>
      <c r="N177" s="186">
        <f>L177*'DADOS BASE'!$I$29</f>
        <v>1741656.7071066983</v>
      </c>
      <c r="O177" s="187"/>
      <c r="P177" s="188">
        <v>0</v>
      </c>
      <c r="Q177" s="186">
        <f>P177*'DADOS BASE'!$I$33</f>
        <v>0</v>
      </c>
      <c r="R177" s="186"/>
      <c r="S177" s="188">
        <v>26.977032694283</v>
      </c>
      <c r="T177" s="186">
        <f>S177*'DADOS BASE'!$I$37</f>
        <v>21252.207035584503</v>
      </c>
      <c r="U177" s="186"/>
      <c r="V177" s="186">
        <f t="shared" si="109"/>
        <v>21252.207035584503</v>
      </c>
      <c r="W177" s="187"/>
      <c r="X177" s="186"/>
      <c r="Y177" s="186"/>
      <c r="Z177" s="185"/>
      <c r="AA177" s="186"/>
      <c r="AB177" s="186"/>
      <c r="AC177" s="186"/>
      <c r="AD177" s="186"/>
      <c r="AE177" s="188">
        <v>1099</v>
      </c>
      <c r="AF177" s="188">
        <v>884.75627106673005</v>
      </c>
      <c r="AG177" s="186" t="s">
        <v>155</v>
      </c>
      <c r="AH177" s="189">
        <v>0.72399999999999998</v>
      </c>
      <c r="AI177" s="183">
        <f t="shared" si="110"/>
        <v>640.56354025231258</v>
      </c>
      <c r="AJ177" s="186">
        <f t="shared" si="111"/>
        <v>2.2569406865853617E-3</v>
      </c>
      <c r="AK177" s="186"/>
      <c r="AL177" s="186">
        <f t="shared" si="112"/>
        <v>179.27085534965599</v>
      </c>
      <c r="AM177" s="187">
        <f t="shared" si="113"/>
        <v>158611.01349010479</v>
      </c>
      <c r="AN177" s="186"/>
      <c r="AO177" s="188">
        <v>1.344262295082</v>
      </c>
      <c r="AQ177" s="186">
        <f t="shared" si="114"/>
        <v>1189.3444955323546</v>
      </c>
      <c r="AR177" s="186">
        <f t="shared" si="115"/>
        <v>1.2654502232609004E-3</v>
      </c>
      <c r="AS177" s="187">
        <f>AR177*'DADOS BASE'!W$38</f>
        <v>379603.13675549341</v>
      </c>
      <c r="AU177" s="188">
        <v>14.426016347140999</v>
      </c>
      <c r="AV177" s="188">
        <v>19.5</v>
      </c>
      <c r="AW177" s="186">
        <f t="shared" si="116"/>
        <v>3.6065040867852498</v>
      </c>
      <c r="AX177" s="186">
        <f>IF($AW$11&gt;0,(AW177/$AW$11)*'DADOS BASE'!W$40,0)</f>
        <v>648.00357810048956</v>
      </c>
      <c r="AY177" s="186">
        <f t="shared" si="117"/>
        <v>4.8480874609245523</v>
      </c>
      <c r="AZ177" s="186">
        <f t="shared" si="118"/>
        <v>2.5355650367027866E-4</v>
      </c>
      <c r="BA177" s="186">
        <f>AZ177*'DADOS BASE'!W$41</f>
        <v>1873.2383715562237</v>
      </c>
      <c r="BC177" s="188">
        <v>0</v>
      </c>
      <c r="BD177" s="186">
        <f>IF($BC$11&gt;0,(BC177/$BC$11)*'DADOS BASE'!W$39,0)</f>
        <v>0</v>
      </c>
      <c r="BE177" s="187"/>
    </row>
    <row r="178" spans="2:57" x14ac:dyDescent="0.3">
      <c r="B178" s="223" t="s">
        <v>297</v>
      </c>
      <c r="C178" s="223" t="s">
        <v>311</v>
      </c>
      <c r="D178" s="223" t="s">
        <v>92</v>
      </c>
      <c r="E178" s="223">
        <v>0</v>
      </c>
      <c r="F178" s="224"/>
      <c r="G178" s="225"/>
      <c r="H178" s="226">
        <f ca="1">IF(AND(E178&gt;=2018,SUMIF('DADOS BASE'!$C$101:$D$104,D178,'DADOS BASE'!$H$101:$H$104)&gt;J178),
SUMIF('DADOS BASE'!$C$101:$D$104,D178,'DADOS BASE'!$H$101:$H$104),
J178)</f>
        <v>1491726.9110247539</v>
      </c>
      <c r="I178" s="225"/>
      <c r="J178" s="226">
        <f t="shared" si="107"/>
        <v>1491726.9110247539</v>
      </c>
      <c r="K178" s="226"/>
      <c r="L178" s="227">
        <v>1497.7293738000999</v>
      </c>
      <c r="M178" s="226">
        <f t="shared" si="108"/>
        <v>1.1684590469758617E-3</v>
      </c>
      <c r="N178" s="226">
        <f>L178*'DADOS BASE'!$I$29</f>
        <v>1474868.2284663164</v>
      </c>
      <c r="O178" s="228"/>
      <c r="P178" s="227">
        <v>0</v>
      </c>
      <c r="Q178" s="226">
        <f>P178*'DADOS BASE'!$I$33</f>
        <v>0</v>
      </c>
      <c r="R178" s="226"/>
      <c r="S178" s="227">
        <v>21.4</v>
      </c>
      <c r="T178" s="226">
        <f>S178*'DADOS BASE'!$I$37</f>
        <v>16858.682558437551</v>
      </c>
      <c r="U178" s="226"/>
      <c r="V178" s="226">
        <f t="shared" si="109"/>
        <v>16858.682558437551</v>
      </c>
      <c r="W178" s="228"/>
      <c r="X178" s="226"/>
      <c r="Y178" s="226"/>
      <c r="Z178" s="224"/>
      <c r="AA178" s="226"/>
      <c r="AB178" s="226"/>
      <c r="AC178" s="226"/>
      <c r="AD178" s="226"/>
      <c r="AE178" s="227">
        <v>642</v>
      </c>
      <c r="AF178" s="227">
        <v>605.19960997622002</v>
      </c>
      <c r="AG178" s="226" t="s">
        <v>155</v>
      </c>
      <c r="AH178" s="229">
        <v>0.66700000000000004</v>
      </c>
      <c r="AI178" s="225">
        <f t="shared" si="110"/>
        <v>403.66813985413876</v>
      </c>
      <c r="AJ178" s="226">
        <f t="shared" si="111"/>
        <v>-7.4624320908963163E-2</v>
      </c>
      <c r="AK178" s="226"/>
      <c r="AL178" s="226">
        <f t="shared" si="112"/>
        <v>193.08460168238315</v>
      </c>
      <c r="AM178" s="228">
        <f t="shared" si="113"/>
        <v>116854.72563059207</v>
      </c>
      <c r="AN178" s="226"/>
      <c r="AO178" s="227">
        <v>1.9057692307692</v>
      </c>
      <c r="AP178" s="225"/>
      <c r="AQ178" s="226">
        <f t="shared" si="114"/>
        <v>1153.3707951662007</v>
      </c>
      <c r="AR178" s="226">
        <f t="shared" si="115"/>
        <v>1.2271745787097446E-3</v>
      </c>
      <c r="AS178" s="228">
        <f>AR178*'DADOS BASE'!W$38</f>
        <v>368121.40917278663</v>
      </c>
      <c r="AT178" s="225"/>
      <c r="AU178" s="227">
        <v>21.4</v>
      </c>
      <c r="AV178" s="227">
        <v>26.75</v>
      </c>
      <c r="AW178" s="226">
        <f t="shared" si="116"/>
        <v>5.35</v>
      </c>
      <c r="AX178" s="226">
        <f>IF($AW$11&gt;0,(AW178/$AW$11)*'DADOS BASE'!W$40,0)</f>
        <v>961.26860234001776</v>
      </c>
      <c r="AY178" s="226">
        <f t="shared" si="117"/>
        <v>10.195865384615219</v>
      </c>
      <c r="AZ178" s="226">
        <f t="shared" si="118"/>
        <v>5.3324697618446868E-4</v>
      </c>
      <c r="BA178" s="226">
        <f>AZ178*'DADOS BASE'!W$41</f>
        <v>3939.5506833617978</v>
      </c>
      <c r="BB178" s="225"/>
      <c r="BC178" s="227">
        <v>0</v>
      </c>
      <c r="BD178" s="226">
        <f>IF($BC$11&gt;0,(BC178/$BC$11)*'DADOS BASE'!W$39,0)</f>
        <v>0</v>
      </c>
      <c r="BE178" s="187"/>
    </row>
    <row r="179" spans="2:57" x14ac:dyDescent="0.3">
      <c r="B179" s="184" t="s">
        <v>297</v>
      </c>
      <c r="C179" s="184" t="s">
        <v>312</v>
      </c>
      <c r="D179" s="184" t="s">
        <v>94</v>
      </c>
      <c r="E179" s="184">
        <v>0</v>
      </c>
      <c r="F179" s="185"/>
      <c r="H179" s="186">
        <f ca="1">IF(AND(E179&gt;=2018,SUMIF('DADOS BASE'!$C$101:$D$104,D179,'DADOS BASE'!$H$101:$H$104)&gt;J179),
SUMIF('DADOS BASE'!$C$101:$D$104,D179,'DADOS BASE'!$H$101:$H$104),
J179)</f>
        <v>1710020.0692985654</v>
      </c>
      <c r="J179" s="186">
        <f t="shared" si="107"/>
        <v>1710020.0692985654</v>
      </c>
      <c r="K179" s="186"/>
      <c r="L179" s="188">
        <v>1659.1440725632001</v>
      </c>
      <c r="M179" s="186">
        <f t="shared" si="108"/>
        <v>1.2943873143811326E-3</v>
      </c>
      <c r="N179" s="186">
        <f>L179*'DADOS BASE'!$I$29</f>
        <v>1633819.1143724455</v>
      </c>
      <c r="O179" s="187"/>
      <c r="P179" s="188">
        <v>0</v>
      </c>
      <c r="Q179" s="186">
        <f>P179*'DADOS BASE'!$I$33</f>
        <v>0</v>
      </c>
      <c r="R179" s="186"/>
      <c r="S179" s="188">
        <v>96.727631578946998</v>
      </c>
      <c r="T179" s="186">
        <f>S179*'DADOS BASE'!$I$37</f>
        <v>76200.954926119957</v>
      </c>
      <c r="U179" s="186"/>
      <c r="V179" s="186">
        <f t="shared" si="109"/>
        <v>76200.954926119957</v>
      </c>
      <c r="W179" s="187"/>
      <c r="X179" s="186"/>
      <c r="Y179" s="186"/>
      <c r="Z179" s="185"/>
      <c r="AA179" s="186"/>
      <c r="AB179" s="186"/>
      <c r="AC179" s="186"/>
      <c r="AD179" s="186"/>
      <c r="AE179" s="188">
        <v>1093</v>
      </c>
      <c r="AF179" s="188">
        <v>723.04709837367</v>
      </c>
      <c r="AG179" s="186" t="s">
        <v>155</v>
      </c>
      <c r="AH179" s="189">
        <v>0.71199999999999997</v>
      </c>
      <c r="AI179" s="183">
        <f t="shared" si="110"/>
        <v>514.80953404205297</v>
      </c>
      <c r="AJ179" s="186">
        <f t="shared" si="111"/>
        <v>-1.3928588070372254E-2</v>
      </c>
      <c r="AK179" s="186"/>
      <c r="AL179" s="186">
        <f t="shared" si="112"/>
        <v>182.17901247233542</v>
      </c>
      <c r="AM179" s="187">
        <f t="shared" si="113"/>
        <v>131724.00635270277</v>
      </c>
      <c r="AN179" s="186"/>
      <c r="AO179" s="188">
        <v>1.8402328589909001</v>
      </c>
      <c r="AQ179" s="186">
        <f t="shared" si="114"/>
        <v>1330.5750290252533</v>
      </c>
      <c r="AR179" s="186">
        <f t="shared" si="115"/>
        <v>1.4157180479417966E-3</v>
      </c>
      <c r="AS179" s="187">
        <f>AR179*'DADOS BASE'!W$38</f>
        <v>424679.69255656045</v>
      </c>
      <c r="AU179" s="188">
        <v>39.096052631578999</v>
      </c>
      <c r="AV179" s="188">
        <v>11.75</v>
      </c>
      <c r="AW179" s="186">
        <f t="shared" si="116"/>
        <v>9.7740131578947498</v>
      </c>
      <c r="AX179" s="186">
        <f>IF($AW$11&gt;0,(AW179/$AW$11)*'DADOS BASE'!W$40,0)</f>
        <v>1756.1592462696128</v>
      </c>
      <c r="AY179" s="186">
        <f t="shared" si="117"/>
        <v>17.986460177367331</v>
      </c>
      <c r="AZ179" s="186">
        <f t="shared" si="118"/>
        <v>9.4069754160504293E-4</v>
      </c>
      <c r="BA179" s="186">
        <f>AZ179*'DADOS BASE'!W$41</f>
        <v>6949.735879205251</v>
      </c>
      <c r="BC179" s="188">
        <v>0</v>
      </c>
      <c r="BD179" s="186">
        <f>IF($BC$11&gt;0,(BC179/$BC$11)*'DADOS BASE'!W$39,0)</f>
        <v>0</v>
      </c>
      <c r="BE179" s="187"/>
    </row>
    <row r="180" spans="2:57" x14ac:dyDescent="0.3">
      <c r="B180" s="223" t="s">
        <v>297</v>
      </c>
      <c r="C180" s="223" t="s">
        <v>313</v>
      </c>
      <c r="D180" s="223" t="s">
        <v>94</v>
      </c>
      <c r="E180" s="223">
        <v>0</v>
      </c>
      <c r="F180" s="224"/>
      <c r="G180" s="225"/>
      <c r="H180" s="226">
        <f ca="1">IF(AND(E180&gt;=2018,SUMIF('DADOS BASE'!$C$101:$D$104,D180,'DADOS BASE'!$H$101:$H$104)&gt;J180),
SUMIF('DADOS BASE'!$C$101:$D$104,D180,'DADOS BASE'!$H$101:$H$104),
J180)</f>
        <v>2290493.8618155676</v>
      </c>
      <c r="I180" s="225"/>
      <c r="J180" s="226">
        <f t="shared" si="107"/>
        <v>2290493.8618155676</v>
      </c>
      <c r="K180" s="226"/>
      <c r="L180" s="227">
        <v>2174.2862342921999</v>
      </c>
      <c r="M180" s="226">
        <f t="shared" si="108"/>
        <v>1.6962773553193897E-3</v>
      </c>
      <c r="N180" s="226">
        <f>L180*'DADOS BASE'!$I$29</f>
        <v>2141098.2134995777</v>
      </c>
      <c r="O180" s="228"/>
      <c r="P180" s="227">
        <v>515.89107142856994</v>
      </c>
      <c r="Q180" s="226">
        <f>P180*'DADOS BASE'!$I$33</f>
        <v>127004.14439174201</v>
      </c>
      <c r="R180" s="226"/>
      <c r="S180" s="227">
        <v>28.423228346457002</v>
      </c>
      <c r="T180" s="226">
        <f>S180*'DADOS BASE'!$I$37</f>
        <v>22391.503924247776</v>
      </c>
      <c r="U180" s="226"/>
      <c r="V180" s="226">
        <f t="shared" si="109"/>
        <v>149395.64831598979</v>
      </c>
      <c r="W180" s="228"/>
      <c r="X180" s="226"/>
      <c r="Y180" s="226"/>
      <c r="Z180" s="224"/>
      <c r="AA180" s="226"/>
      <c r="AB180" s="226"/>
      <c r="AC180" s="226"/>
      <c r="AD180" s="226"/>
      <c r="AE180" s="227">
        <v>705</v>
      </c>
      <c r="AF180" s="227">
        <v>579.80966247792003</v>
      </c>
      <c r="AG180" s="226" t="s">
        <v>155</v>
      </c>
      <c r="AH180" s="229">
        <v>0.72699999999999998</v>
      </c>
      <c r="AI180" s="225">
        <f t="shared" si="110"/>
        <v>421.52162462144787</v>
      </c>
      <c r="AJ180" s="226">
        <f t="shared" si="111"/>
        <v>6.3033228758247652E-3</v>
      </c>
      <c r="AK180" s="226"/>
      <c r="AL180" s="226">
        <f t="shared" si="112"/>
        <v>178.54381606898616</v>
      </c>
      <c r="AM180" s="228">
        <f t="shared" si="113"/>
        <v>103521.4297324787</v>
      </c>
      <c r="AN180" s="226"/>
      <c r="AO180" s="227">
        <v>1.7493279569892</v>
      </c>
      <c r="AP180" s="225"/>
      <c r="AQ180" s="226">
        <f t="shared" si="114"/>
        <v>1014.2772523050975</v>
      </c>
      <c r="AR180" s="226">
        <f t="shared" si="115"/>
        <v>1.0791804899247727E-3</v>
      </c>
      <c r="AS180" s="228">
        <f>AR180*'DADOS BASE'!W$38</f>
        <v>323726.91676890507</v>
      </c>
      <c r="AT180" s="225"/>
      <c r="AU180" s="227">
        <v>16.836614173228</v>
      </c>
      <c r="AV180" s="227">
        <v>69.75</v>
      </c>
      <c r="AW180" s="226">
        <f t="shared" si="116"/>
        <v>4.209153543307</v>
      </c>
      <c r="AX180" s="226">
        <f>IF($AW$11&gt;0,(AW180/$AW$11)*'DADOS BASE'!W$40,0)</f>
        <v>756.28544740359882</v>
      </c>
      <c r="AY180" s="226">
        <f t="shared" si="117"/>
        <v>7.3631899685670863</v>
      </c>
      <c r="AZ180" s="226">
        <f t="shared" si="118"/>
        <v>3.850971582789674E-4</v>
      </c>
      <c r="BA180" s="226">
        <f>AZ180*'DADOS BASE'!W$41</f>
        <v>2845.0414926193062</v>
      </c>
      <c r="BB180" s="225"/>
      <c r="BC180" s="227">
        <v>0</v>
      </c>
      <c r="BD180" s="226">
        <f>IF($BC$11&gt;0,(BC180/$BC$11)*'DADOS BASE'!W$39,0)</f>
        <v>0</v>
      </c>
      <c r="BE180" s="187"/>
    </row>
    <row r="181" spans="2:57" x14ac:dyDescent="0.3">
      <c r="B181" s="184" t="s">
        <v>297</v>
      </c>
      <c r="C181" s="184" t="s">
        <v>314</v>
      </c>
      <c r="D181" s="184" t="s">
        <v>94</v>
      </c>
      <c r="E181" s="184">
        <v>2021</v>
      </c>
      <c r="F181" s="185"/>
      <c r="H181" s="186">
        <f ca="1">IF(AND(E181&gt;=2018,SUMIF('DADOS BASE'!$C$101:$D$104,D181,'DADOS BASE'!$H$101:$H$104)&gt;J181),
SUMIF('DADOS BASE'!$C$101:$D$104,D181,'DADOS BASE'!$H$101:$H$104),
J181)</f>
        <v>700000</v>
      </c>
      <c r="J181" s="186">
        <f t="shared" si="107"/>
        <v>0</v>
      </c>
      <c r="K181" s="186"/>
      <c r="L181" s="188">
        <v>0</v>
      </c>
      <c r="M181" s="186">
        <f t="shared" si="108"/>
        <v>0</v>
      </c>
      <c r="N181" s="186">
        <f>L181*'DADOS BASE'!$I$29</f>
        <v>0</v>
      </c>
      <c r="O181" s="187"/>
      <c r="P181" s="188">
        <v>0</v>
      </c>
      <c r="Q181" s="186">
        <f>P181*'DADOS BASE'!$I$33</f>
        <v>0</v>
      </c>
      <c r="R181" s="186"/>
      <c r="S181" s="188">
        <v>0</v>
      </c>
      <c r="T181" s="186">
        <f>S181*'DADOS BASE'!$I$37</f>
        <v>0</v>
      </c>
      <c r="U181" s="186"/>
      <c r="V181" s="186">
        <f t="shared" si="109"/>
        <v>0</v>
      </c>
      <c r="W181" s="187"/>
      <c r="X181" s="186"/>
      <c r="Y181" s="186"/>
      <c r="Z181" s="185"/>
      <c r="AA181" s="186"/>
      <c r="AB181" s="186"/>
      <c r="AC181" s="186"/>
      <c r="AD181" s="186"/>
      <c r="AE181" s="188">
        <v>0</v>
      </c>
      <c r="AF181" s="188">
        <v>0</v>
      </c>
      <c r="AG181" s="186" t="s">
        <v>155</v>
      </c>
      <c r="AH181" s="189">
        <v>0.65700000000000003</v>
      </c>
      <c r="AI181" s="183">
        <f t="shared" si="110"/>
        <v>0</v>
      </c>
      <c r="AJ181" s="186">
        <f t="shared" si="111"/>
        <v>-8.8112261539761177E-2</v>
      </c>
      <c r="AK181" s="186"/>
      <c r="AL181" s="186">
        <f t="shared" si="112"/>
        <v>195.50806595128265</v>
      </c>
      <c r="AM181" s="187">
        <f t="shared" si="113"/>
        <v>0</v>
      </c>
      <c r="AN181" s="186"/>
      <c r="AO181" s="188">
        <v>0</v>
      </c>
      <c r="AQ181" s="186">
        <f t="shared" si="114"/>
        <v>0</v>
      </c>
      <c r="AR181" s="186">
        <f t="shared" si="115"/>
        <v>0</v>
      </c>
      <c r="AS181" s="187">
        <f>AR181*'DADOS BASE'!W$38</f>
        <v>0</v>
      </c>
      <c r="AU181" s="188">
        <v>0</v>
      </c>
      <c r="AV181" s="188">
        <v>0</v>
      </c>
      <c r="AW181" s="186">
        <f t="shared" si="116"/>
        <v>0</v>
      </c>
      <c r="AX181" s="186">
        <f>IF($AW$11&gt;0,(AW181/$AW$11)*'DADOS BASE'!W$40,0)</f>
        <v>0</v>
      </c>
      <c r="AY181" s="186">
        <f t="shared" si="117"/>
        <v>0</v>
      </c>
      <c r="AZ181" s="186">
        <f t="shared" si="118"/>
        <v>0</v>
      </c>
      <c r="BA181" s="186">
        <f>AZ181*'DADOS BASE'!W$41</f>
        <v>0</v>
      </c>
      <c r="BC181" s="188">
        <v>0</v>
      </c>
      <c r="BD181" s="186">
        <f>IF($BC$11&gt;0,(BC181/$BC$11)*'DADOS BASE'!W$39,0)</f>
        <v>0</v>
      </c>
      <c r="BE181" s="187"/>
    </row>
    <row r="182" spans="2:57" x14ac:dyDescent="0.3">
      <c r="B182" s="223" t="s">
        <v>297</v>
      </c>
      <c r="C182" s="223" t="s">
        <v>315</v>
      </c>
      <c r="D182" s="223" t="s">
        <v>92</v>
      </c>
      <c r="E182" s="223">
        <v>0</v>
      </c>
      <c r="F182" s="224"/>
      <c r="G182" s="225"/>
      <c r="H182" s="226">
        <f ca="1">IF(AND(E182&gt;=2018,SUMIF('DADOS BASE'!$C$101:$D$104,D182,'DADOS BASE'!$H$101:$H$104)&gt;J182),
SUMIF('DADOS BASE'!$C$101:$D$104,D182,'DADOS BASE'!$H$101:$H$104),
J182)</f>
        <v>2870118.8320123595</v>
      </c>
      <c r="I182" s="225"/>
      <c r="J182" s="226">
        <f t="shared" si="107"/>
        <v>2870118.8320123595</v>
      </c>
      <c r="K182" s="226"/>
      <c r="L182" s="227">
        <v>2894.9981344102998</v>
      </c>
      <c r="M182" s="226">
        <f t="shared" si="108"/>
        <v>2.258543379267021E-3</v>
      </c>
      <c r="N182" s="226">
        <f>L182*'DADOS BASE'!$I$29</f>
        <v>2850809.2614072529</v>
      </c>
      <c r="O182" s="228"/>
      <c r="P182" s="227">
        <v>0</v>
      </c>
      <c r="Q182" s="226">
        <f>P182*'DADOS BASE'!$I$33</f>
        <v>0</v>
      </c>
      <c r="R182" s="226"/>
      <c r="S182" s="227">
        <v>24.511097442930001</v>
      </c>
      <c r="T182" s="226">
        <f>S182*'DADOS BASE'!$I$37</f>
        <v>19309.570605106881</v>
      </c>
      <c r="U182" s="226"/>
      <c r="V182" s="226">
        <f t="shared" si="109"/>
        <v>19309.570605106881</v>
      </c>
      <c r="W182" s="228"/>
      <c r="X182" s="226"/>
      <c r="Y182" s="226"/>
      <c r="Z182" s="224"/>
      <c r="AA182" s="226"/>
      <c r="AB182" s="226"/>
      <c r="AC182" s="226"/>
      <c r="AD182" s="226"/>
      <c r="AE182" s="227">
        <v>1239</v>
      </c>
      <c r="AF182" s="227">
        <v>975.24424460892999</v>
      </c>
      <c r="AG182" s="226" t="s">
        <v>155</v>
      </c>
      <c r="AH182" s="229">
        <v>0.71399999999999997</v>
      </c>
      <c r="AI182" s="225">
        <f t="shared" si="110"/>
        <v>696.32439065077597</v>
      </c>
      <c r="AJ182" s="226">
        <f t="shared" si="111"/>
        <v>-1.1230999944212651E-2</v>
      </c>
      <c r="AK182" s="226"/>
      <c r="AL182" s="226">
        <f t="shared" si="112"/>
        <v>181.69431961855551</v>
      </c>
      <c r="AM182" s="228">
        <f t="shared" si="113"/>
        <v>177196.33948613165</v>
      </c>
      <c r="AN182" s="226"/>
      <c r="AO182" s="227">
        <v>1.5108303249096999</v>
      </c>
      <c r="AP182" s="225"/>
      <c r="AQ182" s="226">
        <f t="shared" si="114"/>
        <v>1473.4285789488247</v>
      </c>
      <c r="AR182" s="226">
        <f t="shared" si="115"/>
        <v>1.5677127452926936E-3</v>
      </c>
      <c r="AS182" s="228">
        <f>AR182*'DADOS BASE'!W$38</f>
        <v>470274.26658565423</v>
      </c>
      <c r="AT182" s="225"/>
      <c r="AU182" s="227">
        <v>12.255548721465001</v>
      </c>
      <c r="AV182" s="227">
        <v>14.5</v>
      </c>
      <c r="AW182" s="226">
        <f t="shared" si="116"/>
        <v>3.0638871803662502</v>
      </c>
      <c r="AX182" s="226">
        <f>IF($AW$11&gt;0,(AW182/$AW$11)*'DADOS BASE'!W$40,0)</f>
        <v>550.50813973797449</v>
      </c>
      <c r="AY182" s="226">
        <f t="shared" si="117"/>
        <v>4.6290136641994062</v>
      </c>
      <c r="AZ182" s="226">
        <f t="shared" si="118"/>
        <v>2.4209887498863599E-4</v>
      </c>
      <c r="BA182" s="226">
        <f>AZ182*'DADOS BASE'!W$41</f>
        <v>1788.5910863049401</v>
      </c>
      <c r="BB182" s="225"/>
      <c r="BC182" s="227">
        <v>261</v>
      </c>
      <c r="BD182" s="226">
        <f>IF($BC$11&gt;0,(BC182/$BC$11)*'DADOS BASE'!W$39,0)</f>
        <v>1410236.247266151</v>
      </c>
      <c r="BE182" s="187"/>
    </row>
    <row r="183" spans="2:57" x14ac:dyDescent="0.3">
      <c r="B183" s="184" t="s">
        <v>297</v>
      </c>
      <c r="C183" s="184" t="s">
        <v>316</v>
      </c>
      <c r="D183" s="184" t="s">
        <v>94</v>
      </c>
      <c r="E183" s="184">
        <v>0</v>
      </c>
      <c r="F183" s="185"/>
      <c r="H183" s="186">
        <f ca="1">IF(AND(E183&gt;=2018,SUMIF('DADOS BASE'!$C$101:$D$104,D183,'DADOS BASE'!$H$101:$H$104)&gt;J183),
SUMIF('DADOS BASE'!$C$101:$D$104,D183,'DADOS BASE'!$H$101:$H$104),
J183)</f>
        <v>1312854.4709779571</v>
      </c>
      <c r="J183" s="186">
        <f t="shared" si="107"/>
        <v>1312854.4709779571</v>
      </c>
      <c r="K183" s="186"/>
      <c r="L183" s="188">
        <v>1333.2043275169001</v>
      </c>
      <c r="M183" s="186">
        <f t="shared" si="108"/>
        <v>1.0401042305807169E-3</v>
      </c>
      <c r="N183" s="186">
        <f>L183*'DADOS BASE'!$I$29</f>
        <v>1312854.4709779571</v>
      </c>
      <c r="O183" s="187"/>
      <c r="P183" s="188">
        <v>0</v>
      </c>
      <c r="Q183" s="186">
        <f>P183*'DADOS BASE'!$I$33</f>
        <v>0</v>
      </c>
      <c r="R183" s="186"/>
      <c r="S183" s="188">
        <v>0</v>
      </c>
      <c r="T183" s="186">
        <f>S183*'DADOS BASE'!$I$37</f>
        <v>0</v>
      </c>
      <c r="U183" s="186"/>
      <c r="V183" s="186">
        <f t="shared" si="109"/>
        <v>0</v>
      </c>
      <c r="W183" s="187"/>
      <c r="X183" s="186"/>
      <c r="Y183" s="186"/>
      <c r="Z183" s="185"/>
      <c r="AA183" s="186"/>
      <c r="AB183" s="186"/>
      <c r="AC183" s="186"/>
      <c r="AD183" s="186"/>
      <c r="AE183" s="188">
        <v>858</v>
      </c>
      <c r="AF183" s="188">
        <v>534.35176358006004</v>
      </c>
      <c r="AG183" s="186" t="s">
        <v>155</v>
      </c>
      <c r="AH183" s="189">
        <v>0.73499999999999999</v>
      </c>
      <c r="AI183" s="183">
        <f t="shared" si="110"/>
        <v>392.74854623134411</v>
      </c>
      <c r="AJ183" s="186">
        <f t="shared" si="111"/>
        <v>1.7093675380463177E-2</v>
      </c>
      <c r="AK183" s="186"/>
      <c r="AL183" s="186">
        <f t="shared" si="112"/>
        <v>176.60504465386654</v>
      </c>
      <c r="AM183" s="187">
        <f t="shared" si="113"/>
        <v>94369.217067928839</v>
      </c>
      <c r="AN183" s="186"/>
      <c r="AO183" s="188">
        <v>1.2339181286550001</v>
      </c>
      <c r="AQ183" s="186">
        <f t="shared" si="114"/>
        <v>659.34632816020667</v>
      </c>
      <c r="AR183" s="186">
        <f t="shared" si="115"/>
        <v>7.0153766323450433E-4</v>
      </c>
      <c r="AS183" s="187">
        <f>AR183*'DADOS BASE'!W$38</f>
        <v>210443.59755984807</v>
      </c>
      <c r="AU183" s="188">
        <v>0</v>
      </c>
      <c r="AV183" s="188">
        <v>0</v>
      </c>
      <c r="AW183" s="186">
        <f t="shared" si="116"/>
        <v>0</v>
      </c>
      <c r="AX183" s="186">
        <f>IF($AW$11&gt;0,(AW183/$AW$11)*'DADOS BASE'!W$40,0)</f>
        <v>0</v>
      </c>
      <c r="AY183" s="186">
        <f t="shared" si="117"/>
        <v>0</v>
      </c>
      <c r="AZ183" s="186">
        <f t="shared" si="118"/>
        <v>0</v>
      </c>
      <c r="BA183" s="186">
        <f>AZ183*'DADOS BASE'!W$41</f>
        <v>0</v>
      </c>
      <c r="BC183" s="188">
        <v>0</v>
      </c>
      <c r="BD183" s="186">
        <f>IF($BC$11&gt;0,(BC183/$BC$11)*'DADOS BASE'!W$39,0)</f>
        <v>0</v>
      </c>
      <c r="BE183" s="187"/>
    </row>
    <row r="184" spans="2:57" x14ac:dyDescent="0.3">
      <c r="B184" s="223" t="s">
        <v>297</v>
      </c>
      <c r="C184" s="223" t="s">
        <v>317</v>
      </c>
      <c r="D184" s="223" t="s">
        <v>94</v>
      </c>
      <c r="E184" s="223">
        <v>0</v>
      </c>
      <c r="F184" s="224"/>
      <c r="G184" s="225"/>
      <c r="H184" s="226">
        <f ca="1">IF(AND(E184&gt;=2018,SUMIF('DADOS BASE'!$C$101:$D$104,D184,'DADOS BASE'!$H$101:$H$104)&gt;J184),
SUMIF('DADOS BASE'!$C$101:$D$104,D184,'DADOS BASE'!$H$101:$H$104),
J184)</f>
        <v>2115802.9219633033</v>
      </c>
      <c r="I184" s="225"/>
      <c r="J184" s="226">
        <f t="shared" si="107"/>
        <v>2115802.9219633033</v>
      </c>
      <c r="K184" s="226"/>
      <c r="L184" s="227">
        <v>2130.9951121362001</v>
      </c>
      <c r="M184" s="226">
        <f t="shared" si="108"/>
        <v>1.6625036280881666E-3</v>
      </c>
      <c r="N184" s="226">
        <f>L184*'DADOS BASE'!$I$29</f>
        <v>2098467.881371859</v>
      </c>
      <c r="O184" s="228"/>
      <c r="P184" s="227">
        <v>0</v>
      </c>
      <c r="Q184" s="226">
        <f>P184*'DADOS BASE'!$I$33</f>
        <v>0</v>
      </c>
      <c r="R184" s="226"/>
      <c r="S184" s="227">
        <v>22.00467725583</v>
      </c>
      <c r="T184" s="226">
        <f>S184*'DADOS BASE'!$I$37</f>
        <v>17335.040591444333</v>
      </c>
      <c r="U184" s="226"/>
      <c r="V184" s="226">
        <f t="shared" si="109"/>
        <v>17335.040591444333</v>
      </c>
      <c r="W184" s="228"/>
      <c r="X184" s="226"/>
      <c r="Y184" s="226"/>
      <c r="Z184" s="224"/>
      <c r="AA184" s="226"/>
      <c r="AB184" s="226"/>
      <c r="AC184" s="226"/>
      <c r="AD184" s="226"/>
      <c r="AE184" s="227">
        <v>1886</v>
      </c>
      <c r="AF184" s="227">
        <v>1072.1380185615999</v>
      </c>
      <c r="AG184" s="226" t="s">
        <v>155</v>
      </c>
      <c r="AH184" s="229">
        <v>0.73899999999999999</v>
      </c>
      <c r="AI184" s="225">
        <f t="shared" si="110"/>
        <v>792.30999571702228</v>
      </c>
      <c r="AJ184" s="226">
        <f t="shared" si="111"/>
        <v>2.2488851632782383E-2</v>
      </c>
      <c r="AK184" s="226"/>
      <c r="AL184" s="226">
        <f t="shared" si="112"/>
        <v>175.63565894630673</v>
      </c>
      <c r="AM184" s="228">
        <f t="shared" si="113"/>
        <v>188305.66737145424</v>
      </c>
      <c r="AN184" s="226"/>
      <c r="AO184" s="227">
        <v>0.98952702702702999</v>
      </c>
      <c r="AP184" s="225"/>
      <c r="AQ184" s="226">
        <f t="shared" si="114"/>
        <v>1060.9095460699107</v>
      </c>
      <c r="AR184" s="226">
        <f t="shared" si="115"/>
        <v>1.1287967674436235E-3</v>
      </c>
      <c r="AS184" s="228">
        <f>AR184*'DADOS BASE'!W$38</f>
        <v>338610.54809163918</v>
      </c>
      <c r="AT184" s="225"/>
      <c r="AU184" s="227">
        <v>11.064156809732999</v>
      </c>
      <c r="AV184" s="227">
        <v>12</v>
      </c>
      <c r="AW184" s="226">
        <f t="shared" si="116"/>
        <v>2.7660392024332499</v>
      </c>
      <c r="AX184" s="226">
        <f>IF($AW$11&gt;0,(AW184/$AW$11)*'DADOS BASE'!W$40,0)</f>
        <v>496.9918949795715</v>
      </c>
      <c r="AY184" s="226">
        <f t="shared" si="117"/>
        <v>2.7370705486239908</v>
      </c>
      <c r="AZ184" s="226">
        <f t="shared" si="118"/>
        <v>1.4314965317800625E-4</v>
      </c>
      <c r="BA184" s="226">
        <f>AZ184*'DADOS BASE'!W$41</f>
        <v>1057.5687049096939</v>
      </c>
      <c r="BB184" s="225"/>
      <c r="BC184" s="227">
        <v>0</v>
      </c>
      <c r="BD184" s="226">
        <f>IF($BC$11&gt;0,(BC184/$BC$11)*'DADOS BASE'!W$39,0)</f>
        <v>0</v>
      </c>
      <c r="BE184" s="187"/>
    </row>
    <row r="185" spans="2:57" x14ac:dyDescent="0.3">
      <c r="B185" s="184" t="s">
        <v>297</v>
      </c>
      <c r="C185" s="184" t="s">
        <v>318</v>
      </c>
      <c r="D185" s="184" t="s">
        <v>94</v>
      </c>
      <c r="E185" s="184">
        <v>0</v>
      </c>
      <c r="F185" s="185"/>
      <c r="H185" s="186">
        <f ca="1">IF(AND(E185&gt;=2018,SUMIF('DADOS BASE'!$C$101:$D$104,D185,'DADOS BASE'!$H$101:$H$104)&gt;J185),
SUMIF('DADOS BASE'!$C$101:$D$104,D185,'DADOS BASE'!$H$101:$H$104),
J185)</f>
        <v>2223883.4192579342</v>
      </c>
      <c r="J185" s="186">
        <f t="shared" si="107"/>
        <v>2223883.4192579342</v>
      </c>
      <c r="K185" s="186"/>
      <c r="L185" s="188">
        <v>2241.2794319547002</v>
      </c>
      <c r="M185" s="186">
        <f t="shared" si="108"/>
        <v>1.7485423434166576E-3</v>
      </c>
      <c r="N185" s="186">
        <f>L185*'DADOS BASE'!$I$29</f>
        <v>2207068.8357523088</v>
      </c>
      <c r="O185" s="187"/>
      <c r="P185" s="188">
        <v>0</v>
      </c>
      <c r="Q185" s="186">
        <f>P185*'DADOS BASE'!$I$33</f>
        <v>0</v>
      </c>
      <c r="R185" s="186"/>
      <c r="S185" s="188">
        <v>21.34402173913</v>
      </c>
      <c r="T185" s="186">
        <f>S185*'DADOS BASE'!$I$37</f>
        <v>16814.583505625367</v>
      </c>
      <c r="U185" s="186"/>
      <c r="V185" s="186">
        <f t="shared" si="109"/>
        <v>16814.583505625367</v>
      </c>
      <c r="W185" s="187"/>
      <c r="X185" s="186"/>
      <c r="Y185" s="186"/>
      <c r="Z185" s="185"/>
      <c r="AA185" s="186"/>
      <c r="AB185" s="186"/>
      <c r="AC185" s="186"/>
      <c r="AD185" s="186"/>
      <c r="AE185" s="188">
        <v>1167</v>
      </c>
      <c r="AF185" s="188">
        <v>957.36540428648004</v>
      </c>
      <c r="AG185" s="186" t="s">
        <v>155</v>
      </c>
      <c r="AH185" s="189">
        <v>0.72799999999999998</v>
      </c>
      <c r="AI185" s="183">
        <f t="shared" si="110"/>
        <v>696.9620143205575</v>
      </c>
      <c r="AJ185" s="186">
        <f t="shared" si="111"/>
        <v>7.6521169389045665E-3</v>
      </c>
      <c r="AK185" s="186"/>
      <c r="AL185" s="186">
        <f t="shared" si="112"/>
        <v>178.30146964209621</v>
      </c>
      <c r="AM185" s="187">
        <f t="shared" si="113"/>
        <v>170699.65856877898</v>
      </c>
      <c r="AN185" s="186"/>
      <c r="AO185" s="188">
        <v>1.7157935887411999</v>
      </c>
      <c r="AQ185" s="186">
        <f t="shared" si="114"/>
        <v>1642.6414227573694</v>
      </c>
      <c r="AR185" s="186">
        <f t="shared" si="115"/>
        <v>1.747753458290898E-3</v>
      </c>
      <c r="AS185" s="187">
        <f>AR185*'DADOS BASE'!W$38</f>
        <v>524281.93764339073</v>
      </c>
      <c r="AU185" s="188">
        <v>19.934510869564999</v>
      </c>
      <c r="AV185" s="188">
        <v>72</v>
      </c>
      <c r="AW185" s="186">
        <f t="shared" si="116"/>
        <v>4.9836277173912498</v>
      </c>
      <c r="AX185" s="186">
        <f>IF($AW$11&gt;0,(AW185/$AW$11)*'DADOS BASE'!W$40,0)</f>
        <v>895.44015896816074</v>
      </c>
      <c r="AY185" s="186">
        <f t="shared" si="117"/>
        <v>8.5508764861728466</v>
      </c>
      <c r="AZ185" s="186">
        <f t="shared" si="118"/>
        <v>4.4721353783846811E-4</v>
      </c>
      <c r="BA185" s="186">
        <f>AZ185*'DADOS BASE'!W$41</f>
        <v>3303.9482215286098</v>
      </c>
      <c r="BC185" s="188">
        <v>0</v>
      </c>
      <c r="BD185" s="186">
        <f>IF($BC$11&gt;0,(BC185/$BC$11)*'DADOS BASE'!W$39,0)</f>
        <v>0</v>
      </c>
      <c r="BE185" s="187"/>
    </row>
    <row r="186" spans="2:57" x14ac:dyDescent="0.3">
      <c r="B186" s="223" t="s">
        <v>297</v>
      </c>
      <c r="C186" s="223" t="s">
        <v>319</v>
      </c>
      <c r="D186" s="223" t="s">
        <v>94</v>
      </c>
      <c r="E186" s="223">
        <v>0</v>
      </c>
      <c r="F186" s="224"/>
      <c r="G186" s="225"/>
      <c r="H186" s="226">
        <f ca="1">IF(AND(E186&gt;=2018,SUMIF('DADOS BASE'!$C$101:$D$104,D186,'DADOS BASE'!$H$101:$H$104)&gt;J186),
SUMIF('DADOS BASE'!$C$101:$D$104,D186,'DADOS BASE'!$H$101:$H$104),
J186)</f>
        <v>2409212.8266076343</v>
      </c>
      <c r="I186" s="225"/>
      <c r="J186" s="226">
        <f t="shared" si="107"/>
        <v>2409212.8266076343</v>
      </c>
      <c r="K186" s="226"/>
      <c r="L186" s="227">
        <v>2444.95409862</v>
      </c>
      <c r="M186" s="226">
        <f t="shared" si="108"/>
        <v>1.9074398792919378E-3</v>
      </c>
      <c r="N186" s="226">
        <f>L186*'DADOS BASE'!$I$29</f>
        <v>2407634.6389360628</v>
      </c>
      <c r="O186" s="228"/>
      <c r="P186" s="227">
        <v>6.4106012658228</v>
      </c>
      <c r="Q186" s="226">
        <f>P186*'DADOS BASE'!$I$33</f>
        <v>1578.1876715716198</v>
      </c>
      <c r="R186" s="226"/>
      <c r="S186" s="227">
        <v>0</v>
      </c>
      <c r="T186" s="226">
        <f>S186*'DADOS BASE'!$I$37</f>
        <v>0</v>
      </c>
      <c r="U186" s="226"/>
      <c r="V186" s="226">
        <f t="shared" si="109"/>
        <v>1578.1876715716198</v>
      </c>
      <c r="W186" s="228"/>
      <c r="X186" s="226"/>
      <c r="Y186" s="226"/>
      <c r="Z186" s="224"/>
      <c r="AA186" s="226"/>
      <c r="AB186" s="226"/>
      <c r="AC186" s="226"/>
      <c r="AD186" s="226"/>
      <c r="AE186" s="227">
        <v>1397</v>
      </c>
      <c r="AF186" s="227">
        <v>971.10640202222999</v>
      </c>
      <c r="AG186" s="226" t="s">
        <v>155</v>
      </c>
      <c r="AH186" s="229">
        <v>0.8</v>
      </c>
      <c r="AI186" s="225">
        <f t="shared" si="110"/>
        <v>776.88512161778408</v>
      </c>
      <c r="AJ186" s="226">
        <f t="shared" si="111"/>
        <v>0.10476528948065027</v>
      </c>
      <c r="AK186" s="226"/>
      <c r="AL186" s="226">
        <f t="shared" si="112"/>
        <v>160.85252690601976</v>
      </c>
      <c r="AM186" s="228">
        <f t="shared" si="113"/>
        <v>156204.91865988879</v>
      </c>
      <c r="AN186" s="226"/>
      <c r="AO186" s="227">
        <v>1.5463728191001</v>
      </c>
      <c r="AP186" s="225"/>
      <c r="AQ186" s="226">
        <f t="shared" si="114"/>
        <v>1501.692544541271</v>
      </c>
      <c r="AR186" s="226">
        <f t="shared" si="115"/>
        <v>1.5977853119069532E-3</v>
      </c>
      <c r="AS186" s="228">
        <f>AR186*'DADOS BASE'!W$38</f>
        <v>479295.27776983567</v>
      </c>
      <c r="AT186" s="225"/>
      <c r="AU186" s="227">
        <v>0</v>
      </c>
      <c r="AV186" s="227">
        <v>9.25</v>
      </c>
      <c r="AW186" s="226">
        <f t="shared" si="116"/>
        <v>0</v>
      </c>
      <c r="AX186" s="226">
        <f>IF($AW$11&gt;0,(AW186/$AW$11)*'DADOS BASE'!W$40,0)</f>
        <v>0</v>
      </c>
      <c r="AY186" s="226">
        <f t="shared" si="117"/>
        <v>0</v>
      </c>
      <c r="AZ186" s="226">
        <f t="shared" si="118"/>
        <v>0</v>
      </c>
      <c r="BA186" s="226">
        <f>AZ186*'DADOS BASE'!W$41</f>
        <v>0</v>
      </c>
      <c r="BB186" s="225"/>
      <c r="BC186" s="227">
        <v>0</v>
      </c>
      <c r="BD186" s="226">
        <f>IF($BC$11&gt;0,(BC186/$BC$11)*'DADOS BASE'!W$39,0)</f>
        <v>0</v>
      </c>
      <c r="BE186" s="187"/>
    </row>
    <row r="187" spans="2:57" x14ac:dyDescent="0.3">
      <c r="B187" s="184" t="s">
        <v>297</v>
      </c>
      <c r="C187" s="184" t="s">
        <v>320</v>
      </c>
      <c r="D187" s="184" t="s">
        <v>94</v>
      </c>
      <c r="E187" s="184">
        <v>0</v>
      </c>
      <c r="F187" s="185"/>
      <c r="H187" s="186">
        <f ca="1">IF(AND(E187&gt;=2018,SUMIF('DADOS BASE'!$C$101:$D$104,D187,'DADOS BASE'!$H$101:$H$104)&gt;J187),
SUMIF('DADOS BASE'!$C$101:$D$104,D187,'DADOS BASE'!$H$101:$H$104),
J187)</f>
        <v>7339883.1805200893</v>
      </c>
      <c r="J187" s="186">
        <f t="shared" si="107"/>
        <v>7339883.1805200893</v>
      </c>
      <c r="K187" s="186"/>
      <c r="L187" s="188">
        <v>6637.1258558659001</v>
      </c>
      <c r="M187" s="186">
        <f t="shared" si="108"/>
        <v>5.1779780031469148E-3</v>
      </c>
      <c r="N187" s="186">
        <f>L187*'DADOS BASE'!$I$29</f>
        <v>6535817.6346052187</v>
      </c>
      <c r="O187" s="187"/>
      <c r="P187" s="188">
        <v>563.22972444792003</v>
      </c>
      <c r="Q187" s="186">
        <f>P187*'DADOS BASE'!$I$33</f>
        <v>138658.1648940382</v>
      </c>
      <c r="R187" s="186"/>
      <c r="S187" s="188">
        <v>844.65188216732997</v>
      </c>
      <c r="T187" s="186">
        <f>S187*'DADOS BASE'!$I$37</f>
        <v>665407.38102083246</v>
      </c>
      <c r="U187" s="186"/>
      <c r="V187" s="186">
        <f t="shared" si="109"/>
        <v>804065.54591487069</v>
      </c>
      <c r="W187" s="187"/>
      <c r="X187" s="186"/>
      <c r="Y187" s="186"/>
      <c r="Z187" s="185"/>
      <c r="AA187" s="186"/>
      <c r="AB187" s="186"/>
      <c r="AC187" s="186"/>
      <c r="AD187" s="186"/>
      <c r="AE187" s="188">
        <v>4676</v>
      </c>
      <c r="AF187" s="188">
        <v>2707.1961485472002</v>
      </c>
      <c r="AG187" s="186" t="s">
        <v>155</v>
      </c>
      <c r="AH187" s="189">
        <v>0.84499999999999997</v>
      </c>
      <c r="AI187" s="183">
        <f t="shared" si="110"/>
        <v>2287.5807455223839</v>
      </c>
      <c r="AJ187" s="186">
        <f t="shared" si="111"/>
        <v>0.16546102231924117</v>
      </c>
      <c r="AK187" s="186"/>
      <c r="AL187" s="186">
        <f t="shared" si="112"/>
        <v>149.94693769597203</v>
      </c>
      <c r="AM187" s="187">
        <f t="shared" si="113"/>
        <v>405935.77221698244</v>
      </c>
      <c r="AN187" s="186"/>
      <c r="AO187" s="188">
        <v>1.5340941110171999</v>
      </c>
      <c r="AQ187" s="186">
        <f t="shared" si="114"/>
        <v>4153.0936688547044</v>
      </c>
      <c r="AR187" s="186">
        <f t="shared" si="115"/>
        <v>4.4188486432799471E-3</v>
      </c>
      <c r="AS187" s="187">
        <f>AR187*'DADOS BASE'!W$38</f>
        <v>1325543.0952585081</v>
      </c>
      <c r="AU187" s="188">
        <v>341.61220819352002</v>
      </c>
      <c r="AV187" s="188">
        <v>223.5</v>
      </c>
      <c r="AW187" s="186">
        <f t="shared" si="116"/>
        <v>85.403052048380005</v>
      </c>
      <c r="AX187" s="186">
        <f>IF($AW$11&gt;0,(AW187/$AW$11)*'DADOS BASE'!W$40,0)</f>
        <v>15344.910743573464</v>
      </c>
      <c r="AY187" s="186">
        <f t="shared" si="117"/>
        <v>131.01631921031517</v>
      </c>
      <c r="AZ187" s="186">
        <f t="shared" si="118"/>
        <v>6.852194827438503E-3</v>
      </c>
      <c r="BA187" s="186">
        <f>AZ187*'DADOS BASE'!W$41</f>
        <v>50623.013388875122</v>
      </c>
      <c r="BC187" s="188">
        <v>0</v>
      </c>
      <c r="BD187" s="186">
        <f>IF($BC$11&gt;0,(BC187/$BC$11)*'DADOS BASE'!W$39,0)</f>
        <v>0</v>
      </c>
      <c r="BE187" s="187"/>
    </row>
    <row r="188" spans="2:57" x14ac:dyDescent="0.3">
      <c r="B188" s="223" t="s">
        <v>297</v>
      </c>
      <c r="C188" s="223" t="s">
        <v>321</v>
      </c>
      <c r="D188" s="223" t="s">
        <v>209</v>
      </c>
      <c r="E188" s="223">
        <v>0</v>
      </c>
      <c r="F188" s="224"/>
      <c r="G188" s="225"/>
      <c r="H188" s="226">
        <f ca="1">IF(AND(E188&gt;=2018,SUMIF('DADOS BASE'!$C$101:$D$104,D188,'DADOS BASE'!$H$101:$H$104)&gt;J188),
SUMIF('DADOS BASE'!$C$101:$D$104,D188,'DADOS BASE'!$H$101:$H$104),
J188)</f>
        <v>460774.3381734966</v>
      </c>
      <c r="I188" s="225"/>
      <c r="J188" s="226">
        <f t="shared" si="107"/>
        <v>460774.3381734966</v>
      </c>
      <c r="K188" s="226"/>
      <c r="L188" s="227">
        <v>21.954943903396</v>
      </c>
      <c r="M188" s="226">
        <f t="shared" si="108"/>
        <v>1.7128229758011362E-5</v>
      </c>
      <c r="N188" s="226">
        <f>L188*'DADOS BASE'!$I$29</f>
        <v>21619.826510260336</v>
      </c>
      <c r="O188" s="228"/>
      <c r="P188" s="227">
        <v>41.460100762773997</v>
      </c>
      <c r="Q188" s="226">
        <f>P188*'DADOS BASE'!$I$33</f>
        <v>10206.814801408314</v>
      </c>
      <c r="R188" s="226"/>
      <c r="S188" s="227">
        <v>544.49573274923</v>
      </c>
      <c r="T188" s="226">
        <f>S188*'DADOS BASE'!$I$37</f>
        <v>428947.69686182792</v>
      </c>
      <c r="U188" s="226"/>
      <c r="V188" s="226">
        <f t="shared" si="109"/>
        <v>439154.51166323625</v>
      </c>
      <c r="W188" s="228"/>
      <c r="X188" s="226"/>
      <c r="Y188" s="226"/>
      <c r="Z188" s="224"/>
      <c r="AA188" s="226"/>
      <c r="AB188" s="226"/>
      <c r="AC188" s="226"/>
      <c r="AD188" s="226"/>
      <c r="AE188" s="227">
        <v>66</v>
      </c>
      <c r="AF188" s="227">
        <v>5.8546517075722004</v>
      </c>
      <c r="AG188" s="226" t="s">
        <v>155</v>
      </c>
      <c r="AH188" s="229">
        <v>0.84499999999999997</v>
      </c>
      <c r="AI188" s="225">
        <f t="shared" si="110"/>
        <v>4.9471806928985096</v>
      </c>
      <c r="AJ188" s="226">
        <f t="shared" si="111"/>
        <v>0.16546102231924117</v>
      </c>
      <c r="AK188" s="226"/>
      <c r="AL188" s="226">
        <f t="shared" si="112"/>
        <v>149.94693769597203</v>
      </c>
      <c r="AM188" s="228">
        <f t="shared" si="113"/>
        <v>877.88709482694492</v>
      </c>
      <c r="AN188" s="226"/>
      <c r="AO188" s="227">
        <v>0.90962267259844998</v>
      </c>
      <c r="AP188" s="225"/>
      <c r="AQ188" s="226">
        <f t="shared" si="114"/>
        <v>5.325523933374904</v>
      </c>
      <c r="AR188" s="226">
        <f t="shared" si="115"/>
        <v>5.6663022999522601E-6</v>
      </c>
      <c r="AS188" s="228">
        <f>AR188*'DADOS BASE'!W$38</f>
        <v>1699.7477161322367</v>
      </c>
      <c r="AT188" s="225"/>
      <c r="AU188" s="227">
        <v>497.47735506476999</v>
      </c>
      <c r="AV188" s="227">
        <v>1839</v>
      </c>
      <c r="AW188" s="226">
        <f t="shared" si="116"/>
        <v>124.3693387661925</v>
      </c>
      <c r="AX188" s="226">
        <f>IF($AW$11&gt;0,(AW188/$AW$11)*'DADOS BASE'!W$40,0)</f>
        <v>22346.231859762625</v>
      </c>
      <c r="AY188" s="226">
        <f t="shared" si="117"/>
        <v>113.12917031780603</v>
      </c>
      <c r="AZ188" s="226">
        <f t="shared" si="118"/>
        <v>5.9166912973620473E-3</v>
      </c>
      <c r="BA188" s="226">
        <f>AZ188*'DADOS BASE'!W$41</f>
        <v>43711.650107322923</v>
      </c>
      <c r="BB188" s="225"/>
      <c r="BC188" s="227">
        <v>0</v>
      </c>
      <c r="BD188" s="226">
        <f>IF($BC$11&gt;0,(BC188/$BC$11)*'DADOS BASE'!W$39,0)</f>
        <v>0</v>
      </c>
      <c r="BE188" s="187"/>
    </row>
    <row r="189" spans="2:57" x14ac:dyDescent="0.3">
      <c r="F189" s="185"/>
      <c r="H189" s="186"/>
      <c r="J189" s="186"/>
      <c r="K189" s="186"/>
      <c r="L189" s="186"/>
      <c r="M189" s="186"/>
      <c r="N189" s="186"/>
      <c r="O189" s="187"/>
      <c r="P189" s="186"/>
      <c r="Q189" s="186"/>
      <c r="R189" s="186"/>
      <c r="S189" s="186"/>
      <c r="T189" s="186"/>
      <c r="U189" s="186"/>
      <c r="V189" s="186"/>
      <c r="W189" s="187"/>
      <c r="X189" s="186"/>
      <c r="Y189" s="186"/>
      <c r="Z189" s="185"/>
      <c r="AA189" s="186"/>
      <c r="AB189" s="186"/>
      <c r="AC189" s="186"/>
      <c r="AD189" s="186"/>
      <c r="AE189" s="186"/>
      <c r="AF189" s="186"/>
      <c r="AG189" s="186"/>
      <c r="AH189" s="185"/>
      <c r="AJ189" s="186"/>
      <c r="AK189" s="186"/>
      <c r="AL189" s="186"/>
      <c r="AM189" s="187"/>
      <c r="AN189" s="186"/>
      <c r="AO189" s="186"/>
      <c r="AQ189" s="186"/>
      <c r="AR189" s="186"/>
      <c r="AS189" s="187"/>
      <c r="AU189" s="186"/>
      <c r="AV189" s="186"/>
      <c r="AW189" s="186"/>
      <c r="AX189" s="186"/>
      <c r="AY189" s="186"/>
      <c r="AZ189" s="186"/>
      <c r="BA189" s="186"/>
      <c r="BC189" s="186"/>
      <c r="BD189" s="186"/>
      <c r="BE189" s="187"/>
    </row>
    <row r="190" spans="2:57" x14ac:dyDescent="0.3">
      <c r="B190" s="209" t="s">
        <v>322</v>
      </c>
      <c r="C190" s="209" t="s">
        <v>323</v>
      </c>
      <c r="D190" s="211" t="s">
        <v>154</v>
      </c>
      <c r="E190" s="211"/>
      <c r="F190" s="210"/>
      <c r="G190" s="211"/>
      <c r="H190" s="212">
        <f ca="1">SUM(H191:H205)</f>
        <v>29765843.194373619</v>
      </c>
      <c r="I190" s="211"/>
      <c r="J190" s="212">
        <f>SUM(J191:J205)</f>
        <v>29765843.194373619</v>
      </c>
      <c r="K190" s="212"/>
      <c r="L190" s="212">
        <f>SUM(L191:L205)</f>
        <v>29883.5873312615</v>
      </c>
      <c r="M190" s="212">
        <f>SUM(M191:M205)</f>
        <v>2.3313789917006847E-2</v>
      </c>
      <c r="N190" s="212">
        <f>SUM(N191:N205)</f>
        <v>29427448.161511891</v>
      </c>
      <c r="O190" s="214"/>
      <c r="P190" s="212">
        <f>SUM(P191:P205)</f>
        <v>423.69457581147287</v>
      </c>
      <c r="Q190" s="212">
        <f>SUM(Q191:Q205)</f>
        <v>104306.83930107293</v>
      </c>
      <c r="R190" s="212"/>
      <c r="S190" s="212">
        <f>SUM(S191:S205)</f>
        <v>297.14583715742003</v>
      </c>
      <c r="T190" s="212">
        <f>SUM(T191:T205)</f>
        <v>234088.19356065986</v>
      </c>
      <c r="U190" s="212"/>
      <c r="V190" s="212">
        <f>SUM(V191:V205)</f>
        <v>338395.03286173276</v>
      </c>
      <c r="W190" s="214"/>
      <c r="X190" s="212">
        <f>SUMIF(INDICADORES!$D$13:$D$53,C190,INDICADORES!$L$13:$L$53)</f>
        <v>1.6997479810893841E-2</v>
      </c>
      <c r="Y190" s="212">
        <f>X190*'DADOS BASE'!$I$79</f>
        <v>705790.03470304084</v>
      </c>
      <c r="Z190" s="210">
        <f>SUMIF(INDICADORES!$D$13:$D$53,C190,INDICADORES!$R$13:$R$53)</f>
        <v>0</v>
      </c>
      <c r="AA190" s="212">
        <f>Z190*'DADOS BASE'!$I$84</f>
        <v>0</v>
      </c>
      <c r="AB190" s="212">
        <f>SUMIF(INDICADORES!$D$13:$D$53,C190,INDICADORES!$Z$13:$Z$53)</f>
        <v>3.0710279749383774E-2</v>
      </c>
      <c r="AC190" s="212">
        <f>AB190*'DADOS BASE'!$I$89</f>
        <v>2550379.1916453349</v>
      </c>
      <c r="AD190" s="212"/>
      <c r="AE190" s="212">
        <f>SUM(AE191:AE205)</f>
        <v>16343</v>
      </c>
      <c r="AF190" s="212">
        <f>SUM(AF191:AF205)</f>
        <v>12711.291716691821</v>
      </c>
      <c r="AG190" s="212" t="s">
        <v>155</v>
      </c>
      <c r="AH190" s="210"/>
      <c r="AI190" s="211"/>
      <c r="AJ190" s="212"/>
      <c r="AK190" s="212"/>
      <c r="AL190" s="212"/>
      <c r="AM190" s="214">
        <f>SUM(AM191:AM205)</f>
        <v>2197090.5036921003</v>
      </c>
      <c r="AN190" s="212"/>
      <c r="AO190" s="212"/>
      <c r="AP190" s="211"/>
      <c r="AQ190" s="212">
        <f>SUM(AQ191:AQ205)</f>
        <v>12711.924762044062</v>
      </c>
      <c r="AR190" s="212"/>
      <c r="AS190" s="214">
        <f>SUM(AS191:AS205)</f>
        <v>4057265.6047076173</v>
      </c>
      <c r="AT190" s="211"/>
      <c r="AU190" s="212">
        <f t="shared" ref="AU190:BA190" si="119">SUM(AU191:AU205)</f>
        <v>264.75534685739603</v>
      </c>
      <c r="AV190" s="212">
        <f t="shared" si="119"/>
        <v>1459.75</v>
      </c>
      <c r="AW190" s="212">
        <f t="shared" si="119"/>
        <v>66.188836714349009</v>
      </c>
      <c r="AX190" s="212">
        <f t="shared" si="119"/>
        <v>11892.570197927835</v>
      </c>
      <c r="AY190" s="212">
        <f t="shared" si="119"/>
        <v>57.029177202434404</v>
      </c>
      <c r="AZ190" s="212">
        <f t="shared" si="119"/>
        <v>2.9826439591261874E-3</v>
      </c>
      <c r="BA190" s="212">
        <f t="shared" si="119"/>
        <v>22035.337418089133</v>
      </c>
      <c r="BB190" s="211"/>
      <c r="BC190" s="212">
        <f>SUM(BC191:BC205)</f>
        <v>0</v>
      </c>
      <c r="BD190" s="212">
        <f>SUM(BD191:BD205)</f>
        <v>0</v>
      </c>
      <c r="BE190" s="187"/>
    </row>
    <row r="191" spans="2:57" x14ac:dyDescent="0.3">
      <c r="B191" s="216" t="s">
        <v>322</v>
      </c>
      <c r="C191" s="218" t="s">
        <v>156</v>
      </c>
      <c r="D191" s="218" t="s">
        <v>157</v>
      </c>
      <c r="E191" s="218"/>
      <c r="F191" s="217"/>
      <c r="G191" s="218"/>
      <c r="H191" s="219"/>
      <c r="I191" s="218"/>
      <c r="J191" s="219"/>
      <c r="K191" s="219"/>
      <c r="L191" s="219">
        <v>0</v>
      </c>
      <c r="M191" s="219">
        <v>0</v>
      </c>
      <c r="N191" s="219">
        <v>0</v>
      </c>
      <c r="O191" s="221"/>
      <c r="P191" s="219"/>
      <c r="Q191" s="219"/>
      <c r="R191" s="219"/>
      <c r="S191" s="219"/>
      <c r="T191" s="219"/>
      <c r="U191" s="219"/>
      <c r="V191" s="219"/>
      <c r="W191" s="221"/>
      <c r="X191" s="219"/>
      <c r="Y191" s="219"/>
      <c r="Z191" s="217"/>
      <c r="AA191" s="219"/>
      <c r="AB191" s="219"/>
      <c r="AC191" s="219"/>
      <c r="AD191" s="219"/>
      <c r="AE191" s="219"/>
      <c r="AF191" s="219"/>
      <c r="AG191" s="219" t="s">
        <v>155</v>
      </c>
      <c r="AH191" s="217"/>
      <c r="AI191" s="218"/>
      <c r="AJ191" s="219"/>
      <c r="AK191" s="219"/>
      <c r="AL191" s="219"/>
      <c r="AM191" s="221"/>
      <c r="AN191" s="219"/>
      <c r="AO191" s="219"/>
      <c r="AP191" s="218"/>
      <c r="AQ191" s="219"/>
      <c r="AR191" s="219"/>
      <c r="AS191" s="221"/>
      <c r="AT191" s="218"/>
      <c r="AU191" s="219"/>
      <c r="AV191" s="219"/>
      <c r="AW191" s="219"/>
      <c r="AX191" s="219"/>
      <c r="AY191" s="219"/>
      <c r="AZ191" s="219"/>
      <c r="BA191" s="219"/>
      <c r="BB191" s="218"/>
      <c r="BC191" s="219"/>
      <c r="BD191" s="219"/>
      <c r="BE191" s="187"/>
    </row>
    <row r="192" spans="2:57" x14ac:dyDescent="0.3">
      <c r="B192" s="223" t="s">
        <v>322</v>
      </c>
      <c r="C192" s="223" t="s">
        <v>324</v>
      </c>
      <c r="D192" s="223" t="s">
        <v>94</v>
      </c>
      <c r="E192" s="223">
        <v>2014</v>
      </c>
      <c r="F192" s="224"/>
      <c r="G192" s="225"/>
      <c r="H192" s="226">
        <f ca="1">IF(AND(E192&gt;=2018,SUMIF('DADOS BASE'!$C$101:$D$104,D192,'DADOS BASE'!$H$101:$H$104)&gt;J192),
SUMIF('DADOS BASE'!$C$101:$D$104,D192,'DADOS BASE'!$H$101:$H$104),
J192)</f>
        <v>1001656.706883318</v>
      </c>
      <c r="I192" s="225"/>
      <c r="J192" s="226">
        <f t="shared" ref="J192:J205" si="120">N192+Q192+T192</f>
        <v>1001656.706883318</v>
      </c>
      <c r="K192" s="226"/>
      <c r="L192" s="227">
        <v>1009.6268529543</v>
      </c>
      <c r="M192" s="226">
        <f t="shared" ref="M192:M205" si="121">L192/$L$11</f>
        <v>7.8766408073510489E-4</v>
      </c>
      <c r="N192" s="226">
        <f>L192*'DADOS BASE'!$I$29</f>
        <v>994216.04067937215</v>
      </c>
      <c r="O192" s="228"/>
      <c r="P192" s="227">
        <v>0</v>
      </c>
      <c r="Q192" s="226">
        <f>P192*'DADOS BASE'!$I$33</f>
        <v>0</v>
      </c>
      <c r="R192" s="226"/>
      <c r="S192" s="227">
        <v>9.4450000000000003</v>
      </c>
      <c r="T192" s="226">
        <f>S192*'DADOS BASE'!$I$37</f>
        <v>7440.6662039459188</v>
      </c>
      <c r="U192" s="226"/>
      <c r="V192" s="226">
        <f t="shared" ref="V192:V205" si="122">T192+Q192</f>
        <v>7440.6662039459188</v>
      </c>
      <c r="W192" s="228"/>
      <c r="X192" s="226"/>
      <c r="Y192" s="226"/>
      <c r="Z192" s="224"/>
      <c r="AA192" s="226"/>
      <c r="AB192" s="226"/>
      <c r="AC192" s="226"/>
      <c r="AD192" s="226"/>
      <c r="AE192" s="227">
        <v>543</v>
      </c>
      <c r="AF192" s="227">
        <v>481.82316348606997</v>
      </c>
      <c r="AG192" s="226" t="s">
        <v>155</v>
      </c>
      <c r="AH192" s="229">
        <v>0.68600000000000005</v>
      </c>
      <c r="AI192" s="225">
        <f t="shared" ref="AI192:AI205" si="123">AF192*AH192</f>
        <v>330.53069015144405</v>
      </c>
      <c r="AJ192" s="226">
        <f t="shared" ref="AJ192:AJ205" si="124">(AH192-$AI$12)*$AJ$12</f>
        <v>-4.8997233710446939E-2</v>
      </c>
      <c r="AK192" s="226"/>
      <c r="AL192" s="226">
        <f t="shared" ref="AL192:AL205" si="125">$AL$11-(AJ192*$AL$11)</f>
        <v>188.48001957147409</v>
      </c>
      <c r="AM192" s="228">
        <f t="shared" ref="AM192:AM205" si="126">AF192*AL192</f>
        <v>90814.039283844031</v>
      </c>
      <c r="AN192" s="226"/>
      <c r="AO192" s="227">
        <v>1.3668750000000001</v>
      </c>
      <c r="AP192" s="225"/>
      <c r="AQ192" s="226">
        <f t="shared" ref="AQ192:AQ205" si="127">AF192*AO192</f>
        <v>658.59203659002196</v>
      </c>
      <c r="AR192" s="226">
        <f t="shared" ref="AR192:AR205" si="128">AQ192/$AQ$11</f>
        <v>7.007351048172589E-4</v>
      </c>
      <c r="AS192" s="228">
        <f>AR192*'DADOS BASE'!W$38</f>
        <v>210202.85028507115</v>
      </c>
      <c r="AT192" s="225"/>
      <c r="AU192" s="227">
        <v>9.4450000000000003</v>
      </c>
      <c r="AV192" s="227">
        <v>77</v>
      </c>
      <c r="AW192" s="226">
        <f t="shared" ref="AW192:AW205" si="129">AU192/4</f>
        <v>2.3612500000000001</v>
      </c>
      <c r="AX192" s="226">
        <f>IF($AW$11&gt;0,(AW192/$AW$11)*'DADOS BASE'!W$40,0)</f>
        <v>424.26083874305925</v>
      </c>
      <c r="AY192" s="226">
        <f t="shared" ref="AY192:AY205" si="130">AO192*AW192</f>
        <v>3.22753359375</v>
      </c>
      <c r="AZ192" s="226">
        <f t="shared" ref="AZ192:AZ205" si="131">IF($AY$11&gt;0,AY192/$AY$11,0)</f>
        <v>1.6880102516829475E-4</v>
      </c>
      <c r="BA192" s="226">
        <f>AZ192*'DADOS BASE'!W$41</f>
        <v>1247.0772901746018</v>
      </c>
      <c r="BB192" s="225"/>
      <c r="BC192" s="227">
        <v>0</v>
      </c>
      <c r="BD192" s="226">
        <f>IF($BC$11&gt;0,(BC192/$BC$11)*'DADOS BASE'!W$39,0)</f>
        <v>0</v>
      </c>
      <c r="BE192" s="187"/>
    </row>
    <row r="193" spans="2:57" x14ac:dyDescent="0.3">
      <c r="B193" s="184" t="s">
        <v>322</v>
      </c>
      <c r="C193" s="184" t="s">
        <v>325</v>
      </c>
      <c r="D193" s="184" t="s">
        <v>94</v>
      </c>
      <c r="E193" s="184">
        <v>2010</v>
      </c>
      <c r="F193" s="185"/>
      <c r="H193" s="186">
        <f ca="1">IF(AND(E193&gt;=2018,SUMIF('DADOS BASE'!$C$101:$D$104,D193,'DADOS BASE'!$H$101:$H$104)&gt;J193),
SUMIF('DADOS BASE'!$C$101:$D$104,D193,'DADOS BASE'!$H$101:$H$104),
J193)</f>
        <v>2425830.6068378463</v>
      </c>
      <c r="J193" s="186">
        <f t="shared" si="120"/>
        <v>2425830.6068378463</v>
      </c>
      <c r="K193" s="186"/>
      <c r="L193" s="188">
        <v>2449.1441125097999</v>
      </c>
      <c r="M193" s="186">
        <f t="shared" si="121"/>
        <v>1.9107087339476153E-3</v>
      </c>
      <c r="N193" s="186">
        <f>L193*'DADOS BASE'!$I$29</f>
        <v>2411760.6970016924</v>
      </c>
      <c r="O193" s="187"/>
      <c r="P193" s="188">
        <v>0</v>
      </c>
      <c r="Q193" s="186">
        <f>P193*'DADOS BASE'!$I$33</f>
        <v>0</v>
      </c>
      <c r="R193" s="186"/>
      <c r="S193" s="188">
        <v>17.86</v>
      </c>
      <c r="T193" s="186">
        <f>S193*'DADOS BASE'!$I$37</f>
        <v>14069.909836153955</v>
      </c>
      <c r="U193" s="186"/>
      <c r="V193" s="186">
        <f t="shared" si="122"/>
        <v>14069.909836153955</v>
      </c>
      <c r="W193" s="187"/>
      <c r="X193" s="186"/>
      <c r="Y193" s="186"/>
      <c r="Z193" s="185"/>
      <c r="AA193" s="186"/>
      <c r="AB193" s="186"/>
      <c r="AC193" s="186"/>
      <c r="AD193" s="186"/>
      <c r="AE193" s="188">
        <v>1370</v>
      </c>
      <c r="AF193" s="188">
        <v>1128.0701751408001</v>
      </c>
      <c r="AG193" s="186" t="s">
        <v>155</v>
      </c>
      <c r="AH193" s="189">
        <v>0.73699999999999999</v>
      </c>
      <c r="AI193" s="183">
        <f t="shared" si="123"/>
        <v>831.38771907876969</v>
      </c>
      <c r="AJ193" s="186">
        <f t="shared" si="124"/>
        <v>1.9791263506622778E-2</v>
      </c>
      <c r="AK193" s="186"/>
      <c r="AL193" s="186">
        <f t="shared" si="125"/>
        <v>176.12035180008664</v>
      </c>
      <c r="AM193" s="187">
        <f t="shared" si="126"/>
        <v>198676.11610098305</v>
      </c>
      <c r="AN193" s="186"/>
      <c r="AO193" s="188">
        <v>1.5065913370998001</v>
      </c>
      <c r="AQ193" s="186">
        <f t="shared" si="127"/>
        <v>1699.5407535077836</v>
      </c>
      <c r="AR193" s="186">
        <f t="shared" si="128"/>
        <v>1.8082937568099395E-3</v>
      </c>
      <c r="AS193" s="187">
        <f>AR193*'DADOS BASE'!W$38</f>
        <v>542442.49962798017</v>
      </c>
      <c r="AU193" s="188">
        <v>17.86</v>
      </c>
      <c r="AV193" s="188">
        <v>93.5</v>
      </c>
      <c r="AW193" s="186">
        <f t="shared" si="129"/>
        <v>4.4649999999999999</v>
      </c>
      <c r="AX193" s="186">
        <f>IF($AW$11&gt;0,(AW193/$AW$11)*'DADOS BASE'!W$40,0)</f>
        <v>802.25501111180927</v>
      </c>
      <c r="AY193" s="186">
        <f t="shared" si="130"/>
        <v>6.7269303201506068</v>
      </c>
      <c r="AZ193" s="186">
        <f t="shared" si="131"/>
        <v>3.518205779409969E-4</v>
      </c>
      <c r="BA193" s="186">
        <f>AZ193*'DADOS BASE'!W$41</f>
        <v>2599.1989831157075</v>
      </c>
      <c r="BC193" s="188">
        <v>0</v>
      </c>
      <c r="BD193" s="186">
        <f>IF($BC$11&gt;0,(BC193/$BC$11)*'DADOS BASE'!W$39,0)</f>
        <v>0</v>
      </c>
      <c r="BE193" s="187"/>
    </row>
    <row r="194" spans="2:57" x14ac:dyDescent="0.3">
      <c r="B194" s="223" t="s">
        <v>322</v>
      </c>
      <c r="C194" s="223" t="s">
        <v>326</v>
      </c>
      <c r="D194" s="223" t="s">
        <v>94</v>
      </c>
      <c r="E194" s="223">
        <v>2012</v>
      </c>
      <c r="F194" s="224"/>
      <c r="G194" s="225"/>
      <c r="H194" s="226">
        <f ca="1">IF(AND(E194&gt;=2018,SUMIF('DADOS BASE'!$C$101:$D$104,D194,'DADOS BASE'!$H$101:$H$104)&gt;J194),
SUMIF('DADOS BASE'!$C$101:$D$104,D194,'DADOS BASE'!$H$101:$H$104),
J194)</f>
        <v>2029833.7499396671</v>
      </c>
      <c r="I194" s="225"/>
      <c r="J194" s="226">
        <f t="shared" si="120"/>
        <v>2029833.7499396671</v>
      </c>
      <c r="K194" s="226"/>
      <c r="L194" s="227">
        <v>2056.7240429223998</v>
      </c>
      <c r="M194" s="226">
        <f t="shared" si="121"/>
        <v>1.6045607818907614E-3</v>
      </c>
      <c r="N194" s="226">
        <f>L194*'DADOS BASE'!$I$29</f>
        <v>2025330.4760476067</v>
      </c>
      <c r="O194" s="228"/>
      <c r="P194" s="227">
        <v>3.0123069498068999</v>
      </c>
      <c r="Q194" s="226">
        <f>P194*'DADOS BASE'!$I$33</f>
        <v>741.58187259593751</v>
      </c>
      <c r="R194" s="226"/>
      <c r="S194" s="227">
        <v>4.7750000000000004</v>
      </c>
      <c r="T194" s="226">
        <f>S194*'DADOS BASE'!$I$37</f>
        <v>3761.6920194644536</v>
      </c>
      <c r="U194" s="226"/>
      <c r="V194" s="226">
        <f t="shared" si="122"/>
        <v>4503.2738920603915</v>
      </c>
      <c r="W194" s="228"/>
      <c r="X194" s="226"/>
      <c r="Y194" s="226"/>
      <c r="Z194" s="224"/>
      <c r="AA194" s="226"/>
      <c r="AB194" s="226"/>
      <c r="AC194" s="226"/>
      <c r="AD194" s="226"/>
      <c r="AE194" s="227">
        <v>940</v>
      </c>
      <c r="AF194" s="227">
        <v>798.03120915002</v>
      </c>
      <c r="AG194" s="226" t="s">
        <v>155</v>
      </c>
      <c r="AH194" s="229">
        <v>0.71799999999999997</v>
      </c>
      <c r="AI194" s="225">
        <f t="shared" si="123"/>
        <v>572.98640816971431</v>
      </c>
      <c r="AJ194" s="226">
        <f t="shared" si="124"/>
        <v>-5.8358236918934457E-3</v>
      </c>
      <c r="AK194" s="226"/>
      <c r="AL194" s="226">
        <f t="shared" si="125"/>
        <v>180.7249339109957</v>
      </c>
      <c r="AM194" s="228">
        <f t="shared" si="126"/>
        <v>144224.13753254936</v>
      </c>
      <c r="AN194" s="226"/>
      <c r="AO194" s="227">
        <v>0.80555555555556002</v>
      </c>
      <c r="AP194" s="225"/>
      <c r="AQ194" s="226">
        <f t="shared" si="127"/>
        <v>642.85847403751973</v>
      </c>
      <c r="AR194" s="226">
        <f t="shared" si="128"/>
        <v>6.8399475723962837E-4</v>
      </c>
      <c r="AS194" s="228">
        <f>AR194*'DADOS BASE'!W$38</f>
        <v>205181.16840929529</v>
      </c>
      <c r="AT194" s="225"/>
      <c r="AU194" s="227">
        <v>4.7750000000000004</v>
      </c>
      <c r="AV194" s="227">
        <v>44</v>
      </c>
      <c r="AW194" s="226">
        <f t="shared" si="129"/>
        <v>1.1937500000000001</v>
      </c>
      <c r="AX194" s="226">
        <f>IF($AW$11&gt;0,(AW194/$AW$11)*'DADOS BASE'!W$40,0)</f>
        <v>214.48867178381238</v>
      </c>
      <c r="AY194" s="226">
        <f t="shared" si="130"/>
        <v>0.96163194444444988</v>
      </c>
      <c r="AZ194" s="226">
        <f t="shared" si="131"/>
        <v>5.0293654067966679E-5</v>
      </c>
      <c r="BA194" s="226">
        <f>AZ194*'DADOS BASE'!W$41</f>
        <v>371.56216181463805</v>
      </c>
      <c r="BB194" s="225"/>
      <c r="BC194" s="227">
        <v>0</v>
      </c>
      <c r="BD194" s="226">
        <f>IF($BC$11&gt;0,(BC194/$BC$11)*'DADOS BASE'!W$39,0)</f>
        <v>0</v>
      </c>
      <c r="BE194" s="187"/>
    </row>
    <row r="195" spans="2:57" x14ac:dyDescent="0.3">
      <c r="B195" s="184" t="s">
        <v>322</v>
      </c>
      <c r="C195" s="184" t="s">
        <v>327</v>
      </c>
      <c r="D195" s="184" t="s">
        <v>94</v>
      </c>
      <c r="E195" s="184">
        <v>2012</v>
      </c>
      <c r="F195" s="185"/>
      <c r="H195" s="186">
        <f ca="1">IF(AND(E195&gt;=2018,SUMIF('DADOS BASE'!$C$101:$D$104,D195,'DADOS BASE'!$H$101:$H$104)&gt;J195),
SUMIF('DADOS BASE'!$C$101:$D$104,D195,'DADOS BASE'!$H$101:$H$104),
J195)</f>
        <v>1346427.2410037743</v>
      </c>
      <c r="J195" s="186">
        <f t="shared" si="120"/>
        <v>1346427.2410037743</v>
      </c>
      <c r="K195" s="186"/>
      <c r="L195" s="188">
        <v>1364.4774911345</v>
      </c>
      <c r="M195" s="186">
        <f t="shared" si="121"/>
        <v>1.0645021035180864E-3</v>
      </c>
      <c r="N195" s="186">
        <f>L195*'DADOS BASE'!$I$29</f>
        <v>1343650.2851150597</v>
      </c>
      <c r="O195" s="187"/>
      <c r="P195" s="188">
        <v>0</v>
      </c>
      <c r="Q195" s="186">
        <f>P195*'DADOS BASE'!$I$33</f>
        <v>0</v>
      </c>
      <c r="R195" s="186"/>
      <c r="S195" s="188">
        <v>3.5249999999999999</v>
      </c>
      <c r="T195" s="186">
        <f>S195*'DADOS BASE'!$I$37</f>
        <v>2776.9558887145963</v>
      </c>
      <c r="U195" s="186"/>
      <c r="V195" s="186">
        <f t="shared" si="122"/>
        <v>2776.9558887145963</v>
      </c>
      <c r="W195" s="187"/>
      <c r="X195" s="186"/>
      <c r="Y195" s="186"/>
      <c r="Z195" s="185"/>
      <c r="AA195" s="186"/>
      <c r="AB195" s="186"/>
      <c r="AC195" s="186"/>
      <c r="AD195" s="186"/>
      <c r="AE195" s="188">
        <v>562</v>
      </c>
      <c r="AF195" s="188">
        <v>502.56037924923999</v>
      </c>
      <c r="AG195" s="186" t="s">
        <v>155</v>
      </c>
      <c r="AH195" s="189">
        <v>0.70899999999999996</v>
      </c>
      <c r="AI195" s="183">
        <f t="shared" si="123"/>
        <v>356.31530888771113</v>
      </c>
      <c r="AJ195" s="186">
        <f t="shared" si="124"/>
        <v>-1.7974970259611658E-2</v>
      </c>
      <c r="AK195" s="186"/>
      <c r="AL195" s="186">
        <f t="shared" si="125"/>
        <v>182.90605175300524</v>
      </c>
      <c r="AM195" s="187">
        <f t="shared" si="126"/>
        <v>91921.334735971424</v>
      </c>
      <c r="AN195" s="186"/>
      <c r="AO195" s="188">
        <v>0.60300429184548998</v>
      </c>
      <c r="AQ195" s="186">
        <f t="shared" si="127"/>
        <v>303.04606559878886</v>
      </c>
      <c r="AR195" s="186">
        <f t="shared" si="128"/>
        <v>3.2243787465352801E-4</v>
      </c>
      <c r="AS195" s="187">
        <f>AR195*'DADOS BASE'!W$38</f>
        <v>96723.226546081773</v>
      </c>
      <c r="AU195" s="188">
        <v>3.5249999999999999</v>
      </c>
      <c r="AV195" s="188">
        <v>35.25</v>
      </c>
      <c r="AW195" s="186">
        <f t="shared" si="129"/>
        <v>0.88124999999999998</v>
      </c>
      <c r="AX195" s="186">
        <f>IF($AW$11&gt;0,(AW195/$AW$11)*'DADOS BASE'!W$40,0)</f>
        <v>158.3398048246992</v>
      </c>
      <c r="AY195" s="186">
        <f t="shared" si="130"/>
        <v>0.53139753218883801</v>
      </c>
      <c r="AZ195" s="186">
        <f t="shared" si="131"/>
        <v>2.7792258577596026E-5</v>
      </c>
      <c r="BA195" s="186">
        <f>AZ195*'DADOS BASE'!W$41</f>
        <v>205.32514231015566</v>
      </c>
      <c r="BC195" s="188">
        <v>0</v>
      </c>
      <c r="BD195" s="186">
        <f>IF($BC$11&gt;0,(BC195/$BC$11)*'DADOS BASE'!W$39,0)</f>
        <v>0</v>
      </c>
      <c r="BE195" s="187"/>
    </row>
    <row r="196" spans="2:57" x14ac:dyDescent="0.3">
      <c r="B196" s="223" t="s">
        <v>322</v>
      </c>
      <c r="C196" s="223" t="s">
        <v>328</v>
      </c>
      <c r="D196" s="223" t="s">
        <v>94</v>
      </c>
      <c r="E196" s="223">
        <v>2010</v>
      </c>
      <c r="F196" s="224"/>
      <c r="G196" s="225"/>
      <c r="H196" s="226">
        <f ca="1">IF(AND(E196&gt;=2018,SUMIF('DADOS BASE'!$C$101:$D$104,D196,'DADOS BASE'!$H$101:$H$104)&gt;J196),
SUMIF('DADOS BASE'!$C$101:$D$104,D196,'DADOS BASE'!$H$101:$H$104),
J196)</f>
        <v>1855942.8705767319</v>
      </c>
      <c r="I196" s="225"/>
      <c r="J196" s="226">
        <f t="shared" si="120"/>
        <v>1855942.8705767319</v>
      </c>
      <c r="K196" s="226"/>
      <c r="L196" s="227">
        <v>1863.5919571316001</v>
      </c>
      <c r="M196" s="226">
        <f t="shared" si="121"/>
        <v>1.4538880790305598E-3</v>
      </c>
      <c r="N196" s="226">
        <f>L196*'DADOS BASE'!$I$29</f>
        <v>1835146.333162325</v>
      </c>
      <c r="O196" s="228"/>
      <c r="P196" s="227">
        <v>47.515573770491997</v>
      </c>
      <c r="Q196" s="226">
        <f>P196*'DADOS BASE'!$I$33</f>
        <v>11697.57556627842</v>
      </c>
      <c r="R196" s="226"/>
      <c r="S196" s="227">
        <v>11.55</v>
      </c>
      <c r="T196" s="226">
        <f>S196*'DADOS BASE'!$I$37</f>
        <v>9098.961848128678</v>
      </c>
      <c r="U196" s="226"/>
      <c r="V196" s="226">
        <f t="shared" si="122"/>
        <v>20796.537414407096</v>
      </c>
      <c r="W196" s="228"/>
      <c r="X196" s="226"/>
      <c r="Y196" s="226"/>
      <c r="Z196" s="224"/>
      <c r="AA196" s="226"/>
      <c r="AB196" s="226"/>
      <c r="AC196" s="226"/>
      <c r="AD196" s="226"/>
      <c r="AE196" s="227">
        <v>1023</v>
      </c>
      <c r="AF196" s="227">
        <v>775.73502818403006</v>
      </c>
      <c r="AG196" s="226" t="s">
        <v>155</v>
      </c>
      <c r="AH196" s="229">
        <v>0.74399999999999999</v>
      </c>
      <c r="AI196" s="225">
        <f t="shared" si="123"/>
        <v>577.1468609689183</v>
      </c>
      <c r="AJ196" s="226">
        <f t="shared" si="124"/>
        <v>2.9232821948181387E-2</v>
      </c>
      <c r="AK196" s="226"/>
      <c r="AL196" s="226">
        <f t="shared" si="125"/>
        <v>174.423926811857</v>
      </c>
      <c r="AM196" s="228">
        <f t="shared" si="126"/>
        <v>135306.7497813651</v>
      </c>
      <c r="AN196" s="226"/>
      <c r="AO196" s="227">
        <v>0.56541095890410997</v>
      </c>
      <c r="AP196" s="225"/>
      <c r="AQ196" s="226">
        <f t="shared" si="127"/>
        <v>438.6090861410392</v>
      </c>
      <c r="AR196" s="226">
        <f t="shared" si="128"/>
        <v>4.6667552426263233E-4</v>
      </c>
      <c r="AS196" s="228">
        <f>AR196*'DADOS BASE'!W$38</f>
        <v>139990.88198081256</v>
      </c>
      <c r="AT196" s="225"/>
      <c r="AU196" s="227">
        <v>11.55</v>
      </c>
      <c r="AV196" s="227">
        <v>125.25</v>
      </c>
      <c r="AW196" s="226">
        <f t="shared" si="129"/>
        <v>2.8875000000000002</v>
      </c>
      <c r="AX196" s="226">
        <f>IF($AW$11&gt;0,(AW196/$AW$11)*'DADOS BASE'!W$40,0)</f>
        <v>518.81553070220593</v>
      </c>
      <c r="AY196" s="226">
        <f t="shared" si="130"/>
        <v>1.6326241438356177</v>
      </c>
      <c r="AZ196" s="226">
        <f t="shared" si="131"/>
        <v>8.5386757779261851E-5</v>
      </c>
      <c r="BA196" s="226">
        <f>AZ196*'DADOS BASE'!W$41</f>
        <v>630.82488037020187</v>
      </c>
      <c r="BB196" s="225"/>
      <c r="BC196" s="227">
        <v>0</v>
      </c>
      <c r="BD196" s="226">
        <f>IF($BC$11&gt;0,(BC196/$BC$11)*'DADOS BASE'!W$39,0)</f>
        <v>0</v>
      </c>
      <c r="BE196" s="187"/>
    </row>
    <row r="197" spans="2:57" x14ac:dyDescent="0.3">
      <c r="B197" s="184" t="s">
        <v>322</v>
      </c>
      <c r="C197" s="184" t="s">
        <v>329</v>
      </c>
      <c r="D197" s="184" t="s">
        <v>94</v>
      </c>
      <c r="E197" s="184">
        <v>2008</v>
      </c>
      <c r="F197" s="185"/>
      <c r="H197" s="186">
        <f ca="1">IF(AND(E197&gt;=2018,SUMIF('DADOS BASE'!$C$101:$D$104,D197,'DADOS BASE'!$H$101:$H$104)&gt;J197),
SUMIF('DADOS BASE'!$C$101:$D$104,D197,'DADOS BASE'!$H$101:$H$104),
J197)</f>
        <v>7731665.9846272264</v>
      </c>
      <c r="J197" s="186">
        <f t="shared" si="120"/>
        <v>7731665.9846272264</v>
      </c>
      <c r="K197" s="186"/>
      <c r="L197" s="188">
        <v>7836.8504129871999</v>
      </c>
      <c r="M197" s="186">
        <f t="shared" si="121"/>
        <v>6.113947502824092E-3</v>
      </c>
      <c r="N197" s="186">
        <f>L197*'DADOS BASE'!$I$29</f>
        <v>7717229.7529504336</v>
      </c>
      <c r="O197" s="187"/>
      <c r="P197" s="188">
        <v>0</v>
      </c>
      <c r="Q197" s="186">
        <f>P197*'DADOS BASE'!$I$33</f>
        <v>0</v>
      </c>
      <c r="R197" s="186"/>
      <c r="S197" s="188">
        <v>18.324999999999999</v>
      </c>
      <c r="T197" s="186">
        <f>S197*'DADOS BASE'!$I$37</f>
        <v>14436.231676792902</v>
      </c>
      <c r="U197" s="186"/>
      <c r="V197" s="186">
        <f t="shared" si="122"/>
        <v>14436.231676792902</v>
      </c>
      <c r="W197" s="187"/>
      <c r="X197" s="186"/>
      <c r="Y197" s="186"/>
      <c r="Z197" s="185"/>
      <c r="AA197" s="186"/>
      <c r="AB197" s="186"/>
      <c r="AC197" s="186"/>
      <c r="AD197" s="186"/>
      <c r="AE197" s="188">
        <v>4957</v>
      </c>
      <c r="AF197" s="188">
        <v>3349.3097978840001</v>
      </c>
      <c r="AG197" s="186" t="s">
        <v>155</v>
      </c>
      <c r="AH197" s="189">
        <v>0.79900000000000004</v>
      </c>
      <c r="AI197" s="183">
        <f t="shared" si="123"/>
        <v>2676.0985285093161</v>
      </c>
      <c r="AJ197" s="186">
        <f t="shared" si="124"/>
        <v>0.10341649541757046</v>
      </c>
      <c r="AK197" s="186"/>
      <c r="AL197" s="186">
        <f t="shared" si="125"/>
        <v>161.09487333290971</v>
      </c>
      <c r="AM197" s="187">
        <f t="shared" si="126"/>
        <v>539556.63764279638</v>
      </c>
      <c r="AN197" s="186"/>
      <c r="AO197" s="188">
        <v>0.91499265066143998</v>
      </c>
      <c r="AQ197" s="186">
        <f t="shared" si="127"/>
        <v>3064.5938498522132</v>
      </c>
      <c r="AR197" s="186">
        <f t="shared" si="128"/>
        <v>3.2606961112336247E-3</v>
      </c>
      <c r="AS197" s="187">
        <f>AR197*'DADOS BASE'!W$38</f>
        <v>978126.55849959061</v>
      </c>
      <c r="AU197" s="188">
        <v>18.324999999999999</v>
      </c>
      <c r="AV197" s="188">
        <v>183.25</v>
      </c>
      <c r="AW197" s="186">
        <f t="shared" si="129"/>
        <v>4.5812499999999998</v>
      </c>
      <c r="AX197" s="186">
        <f>IF($AW$11&gt;0,(AW197/$AW$11)*'DADOS BASE'!W$40,0)</f>
        <v>823.14238962059926</v>
      </c>
      <c r="AY197" s="186">
        <f t="shared" si="130"/>
        <v>4.1918100808427221</v>
      </c>
      <c r="AZ197" s="186">
        <f t="shared" si="131"/>
        <v>2.1923298965106054E-4</v>
      </c>
      <c r="BA197" s="186">
        <f>AZ197*'DADOS BASE'!W$41</f>
        <v>1619.661269108648</v>
      </c>
      <c r="BC197" s="188">
        <v>0</v>
      </c>
      <c r="BD197" s="186">
        <f>IF($BC$11&gt;0,(BC197/$BC$11)*'DADOS BASE'!W$39,0)</f>
        <v>0</v>
      </c>
      <c r="BE197" s="187"/>
    </row>
    <row r="198" spans="2:57" x14ac:dyDescent="0.3">
      <c r="B198" s="223" t="s">
        <v>322</v>
      </c>
      <c r="C198" s="223" t="s">
        <v>330</v>
      </c>
      <c r="D198" s="223" t="s">
        <v>94</v>
      </c>
      <c r="E198" s="223">
        <v>2013</v>
      </c>
      <c r="F198" s="224"/>
      <c r="G198" s="225"/>
      <c r="H198" s="226">
        <f ca="1">IF(AND(E198&gt;=2018,SUMIF('DADOS BASE'!$C$101:$D$104,D198,'DADOS BASE'!$H$101:$H$104)&gt;J198),
SUMIF('DADOS BASE'!$C$101:$D$104,D198,'DADOS BASE'!$H$101:$H$104),
J198)</f>
        <v>1260698.6771555238</v>
      </c>
      <c r="I198" s="225"/>
      <c r="J198" s="226">
        <f t="shared" si="120"/>
        <v>1260698.6771555238</v>
      </c>
      <c r="K198" s="226"/>
      <c r="L198" s="227">
        <v>1246.6038356751001</v>
      </c>
      <c r="M198" s="226">
        <f t="shared" si="121"/>
        <v>9.7254254024118009E-4</v>
      </c>
      <c r="N198" s="226">
        <f>L198*'DADOS BASE'!$I$29</f>
        <v>1227575.8377206284</v>
      </c>
      <c r="O198" s="228"/>
      <c r="P198" s="227">
        <v>110.62503557079</v>
      </c>
      <c r="Q198" s="226">
        <f>P198*'DADOS BASE'!$I$33</f>
        <v>27234.11737301126</v>
      </c>
      <c r="R198" s="226"/>
      <c r="S198" s="227">
        <v>7.4749999999999996</v>
      </c>
      <c r="T198" s="226">
        <f>S198*'DADOS BASE'!$I$37</f>
        <v>5888.7220618841438</v>
      </c>
      <c r="U198" s="226"/>
      <c r="V198" s="226">
        <f t="shared" si="122"/>
        <v>33122.839434895403</v>
      </c>
      <c r="W198" s="228"/>
      <c r="X198" s="226"/>
      <c r="Y198" s="226"/>
      <c r="Z198" s="224"/>
      <c r="AA198" s="226"/>
      <c r="AB198" s="226"/>
      <c r="AC198" s="226"/>
      <c r="AD198" s="226"/>
      <c r="AE198" s="227">
        <v>632</v>
      </c>
      <c r="AF198" s="227">
        <v>569.91206786983003</v>
      </c>
      <c r="AG198" s="226" t="s">
        <v>155</v>
      </c>
      <c r="AH198" s="229">
        <v>0.79900000000000004</v>
      </c>
      <c r="AI198" s="225">
        <f t="shared" si="123"/>
        <v>455.35974222799422</v>
      </c>
      <c r="AJ198" s="226">
        <f t="shared" si="124"/>
        <v>0.10341649541757046</v>
      </c>
      <c r="AK198" s="226"/>
      <c r="AL198" s="226">
        <f t="shared" si="125"/>
        <v>161.09487333290971</v>
      </c>
      <c r="AM198" s="228">
        <f t="shared" si="126"/>
        <v>91809.912384386917</v>
      </c>
      <c r="AN198" s="226"/>
      <c r="AO198" s="227">
        <v>1.1412621359223001</v>
      </c>
      <c r="AP198" s="225"/>
      <c r="AQ198" s="226">
        <f t="shared" si="127"/>
        <v>650.41906386501705</v>
      </c>
      <c r="AR198" s="226">
        <f t="shared" si="128"/>
        <v>6.9203914649869499E-4</v>
      </c>
      <c r="AS198" s="228">
        <f>AR198*'DADOS BASE'!W$38</f>
        <v>207594.28220855244</v>
      </c>
      <c r="AT198" s="225"/>
      <c r="AU198" s="227">
        <v>7.4749999999999996</v>
      </c>
      <c r="AV198" s="227">
        <v>110.75</v>
      </c>
      <c r="AW198" s="226">
        <f t="shared" si="129"/>
        <v>1.8687499999999999</v>
      </c>
      <c r="AX198" s="226">
        <f>IF($AW$11&gt;0,(AW198/$AW$11)*'DADOS BASE'!W$40,0)</f>
        <v>335.77022441549684</v>
      </c>
      <c r="AY198" s="226">
        <f t="shared" si="130"/>
        <v>2.1327336165047983</v>
      </c>
      <c r="AZ198" s="226">
        <f t="shared" si="131"/>
        <v>1.1154264097329188E-4</v>
      </c>
      <c r="BA198" s="226">
        <f>AZ198*'DADOS BASE'!W$41</f>
        <v>824.06072063369436</v>
      </c>
      <c r="BB198" s="225"/>
      <c r="BC198" s="227">
        <v>0</v>
      </c>
      <c r="BD198" s="226">
        <f>IF($BC$11&gt;0,(BC198/$BC$11)*'DADOS BASE'!W$39,0)</f>
        <v>0</v>
      </c>
      <c r="BE198" s="187"/>
    </row>
    <row r="199" spans="2:57" x14ac:dyDescent="0.3">
      <c r="B199" s="184" t="s">
        <v>322</v>
      </c>
      <c r="C199" s="184" t="s">
        <v>331</v>
      </c>
      <c r="D199" s="184" t="s">
        <v>94</v>
      </c>
      <c r="E199" s="184">
        <v>2008</v>
      </c>
      <c r="F199" s="185"/>
      <c r="H199" s="186">
        <f ca="1">IF(AND(E199&gt;=2018,SUMIF('DADOS BASE'!$C$101:$D$104,D199,'DADOS BASE'!$H$101:$H$104)&gt;J199),
SUMIF('DADOS BASE'!$C$101:$D$104,D199,'DADOS BASE'!$H$101:$H$104),
J199)</f>
        <v>1733545.9987680372</v>
      </c>
      <c r="J199" s="186">
        <f t="shared" si="120"/>
        <v>1733545.9987680372</v>
      </c>
      <c r="K199" s="186"/>
      <c r="L199" s="188">
        <v>1736.1539333334999</v>
      </c>
      <c r="M199" s="186">
        <f t="shared" si="121"/>
        <v>1.3544668388249246E-3</v>
      </c>
      <c r="N199" s="186">
        <f>L199*'DADOS BASE'!$I$29</f>
        <v>1709653.5066969758</v>
      </c>
      <c r="O199" s="187"/>
      <c r="P199" s="188">
        <v>28.019347360912999</v>
      </c>
      <c r="Q199" s="186">
        <f>P199*'DADOS BASE'!$I$33</f>
        <v>6897.9159265804201</v>
      </c>
      <c r="R199" s="186"/>
      <c r="S199" s="188">
        <v>21.572500000000002</v>
      </c>
      <c r="T199" s="186">
        <f>S199*'DADOS BASE'!$I$37</f>
        <v>16994.57614448103</v>
      </c>
      <c r="U199" s="186"/>
      <c r="V199" s="186">
        <f t="shared" si="122"/>
        <v>23892.49207106145</v>
      </c>
      <c r="W199" s="187"/>
      <c r="X199" s="186"/>
      <c r="Y199" s="186"/>
      <c r="Z199" s="185"/>
      <c r="AA199" s="186"/>
      <c r="AB199" s="186"/>
      <c r="AC199" s="186"/>
      <c r="AD199" s="186"/>
      <c r="AE199" s="188">
        <v>839</v>
      </c>
      <c r="AF199" s="188">
        <v>731.10284274313995</v>
      </c>
      <c r="AG199" s="186" t="s">
        <v>155</v>
      </c>
      <c r="AH199" s="189">
        <v>0.72</v>
      </c>
      <c r="AI199" s="183">
        <f t="shared" si="123"/>
        <v>526.3940467750607</v>
      </c>
      <c r="AJ199" s="186">
        <f t="shared" si="124"/>
        <v>-3.1382355657338435E-3</v>
      </c>
      <c r="AK199" s="186"/>
      <c r="AL199" s="186">
        <f t="shared" si="125"/>
        <v>180.2402410572158</v>
      </c>
      <c r="AM199" s="187">
        <f t="shared" si="126"/>
        <v>131774.15261363928</v>
      </c>
      <c r="AN199" s="186"/>
      <c r="AO199" s="188">
        <v>1.097794822627</v>
      </c>
      <c r="AQ199" s="186">
        <f t="shared" si="127"/>
        <v>802.60091557130079</v>
      </c>
      <c r="AR199" s="186">
        <f t="shared" si="128"/>
        <v>8.5395906031792465E-4</v>
      </c>
      <c r="AS199" s="187">
        <f>AR199*'DADOS BASE'!W$38</f>
        <v>256166.17074208215</v>
      </c>
      <c r="AU199" s="188">
        <v>21.572500000000002</v>
      </c>
      <c r="AV199" s="188">
        <v>115.5</v>
      </c>
      <c r="AW199" s="186">
        <f t="shared" si="129"/>
        <v>5.3931250000000004</v>
      </c>
      <c r="AX199" s="186">
        <f>IF($AW$11&gt;0,(AW199/$AW$11)*'DADOS BASE'!W$40,0)</f>
        <v>969.0171459803754</v>
      </c>
      <c r="AY199" s="186">
        <f t="shared" si="130"/>
        <v>5.9205447027802398</v>
      </c>
      <c r="AZ199" s="186">
        <f t="shared" si="131"/>
        <v>3.0964635575577316E-4</v>
      </c>
      <c r="BA199" s="186">
        <f>AZ199*'DADOS BASE'!W$41</f>
        <v>2287.6219967464981</v>
      </c>
      <c r="BC199" s="188">
        <v>0</v>
      </c>
      <c r="BD199" s="186">
        <f>IF($BC$11&gt;0,(BC199/$BC$11)*'DADOS BASE'!W$39,0)</f>
        <v>0</v>
      </c>
      <c r="BE199" s="187"/>
    </row>
    <row r="200" spans="2:57" x14ac:dyDescent="0.3">
      <c r="B200" s="223" t="s">
        <v>322</v>
      </c>
      <c r="C200" s="223" t="s">
        <v>332</v>
      </c>
      <c r="D200" s="223" t="s">
        <v>94</v>
      </c>
      <c r="E200" s="223">
        <v>2008</v>
      </c>
      <c r="F200" s="224"/>
      <c r="G200" s="225"/>
      <c r="H200" s="226">
        <f ca="1">IF(AND(E200&gt;=2018,SUMIF('DADOS BASE'!$C$101:$D$104,D200,'DADOS BASE'!$H$101:$H$104)&gt;J200),
SUMIF('DADOS BASE'!$C$101:$D$104,D200,'DADOS BASE'!$H$101:$H$104),
J200)</f>
        <v>1887070.2117550676</v>
      </c>
      <c r="I200" s="225"/>
      <c r="J200" s="226">
        <f t="shared" si="120"/>
        <v>1887070.2117550676</v>
      </c>
      <c r="K200" s="226"/>
      <c r="L200" s="227">
        <v>1911.6006800568</v>
      </c>
      <c r="M200" s="226">
        <f t="shared" si="121"/>
        <v>1.4913422597503901E-3</v>
      </c>
      <c r="N200" s="226">
        <f>L200*'DADOS BASE'!$I$29</f>
        <v>1882422.2572179283</v>
      </c>
      <c r="O200" s="228"/>
      <c r="P200" s="227">
        <v>0</v>
      </c>
      <c r="Q200" s="226">
        <f>P200*'DADOS BASE'!$I$33</f>
        <v>0</v>
      </c>
      <c r="R200" s="226"/>
      <c r="S200" s="227">
        <v>5.9</v>
      </c>
      <c r="T200" s="226">
        <f>S200*'DADOS BASE'!$I$37</f>
        <v>4647.9545371393251</v>
      </c>
      <c r="U200" s="226"/>
      <c r="V200" s="226">
        <f t="shared" si="122"/>
        <v>4647.9545371393251</v>
      </c>
      <c r="W200" s="228"/>
      <c r="X200" s="226"/>
      <c r="Y200" s="226"/>
      <c r="Z200" s="224"/>
      <c r="AA200" s="226"/>
      <c r="AB200" s="226"/>
      <c r="AC200" s="226"/>
      <c r="AD200" s="226"/>
      <c r="AE200" s="227">
        <v>999</v>
      </c>
      <c r="AF200" s="227">
        <v>745.88985418545997</v>
      </c>
      <c r="AG200" s="226" t="s">
        <v>155</v>
      </c>
      <c r="AH200" s="229">
        <v>0.752</v>
      </c>
      <c r="AI200" s="225">
        <f t="shared" si="123"/>
        <v>560.90917034746587</v>
      </c>
      <c r="AJ200" s="226">
        <f t="shared" si="124"/>
        <v>4.0023174452819797E-2</v>
      </c>
      <c r="AK200" s="226"/>
      <c r="AL200" s="226">
        <f t="shared" si="125"/>
        <v>172.48515539673738</v>
      </c>
      <c r="AM200" s="228">
        <f t="shared" si="126"/>
        <v>128654.92740802885</v>
      </c>
      <c r="AN200" s="226"/>
      <c r="AO200" s="227">
        <v>1.1993110236219999</v>
      </c>
      <c r="AP200" s="225"/>
      <c r="AQ200" s="226">
        <f t="shared" si="127"/>
        <v>894.55392453242825</v>
      </c>
      <c r="AR200" s="226">
        <f t="shared" si="128"/>
        <v>9.5179610934490681E-4</v>
      </c>
      <c r="AS200" s="228">
        <f>AR200*'DADOS BASE'!W$38</f>
        <v>285514.81679616432</v>
      </c>
      <c r="AT200" s="225"/>
      <c r="AU200" s="227">
        <v>5.9</v>
      </c>
      <c r="AV200" s="227">
        <v>59</v>
      </c>
      <c r="AW200" s="226">
        <f t="shared" si="129"/>
        <v>1.4750000000000001</v>
      </c>
      <c r="AX200" s="226">
        <f>IF($AW$11&gt;0,(AW200/$AW$11)*'DADOS BASE'!W$40,0)</f>
        <v>265.02265204701428</v>
      </c>
      <c r="AY200" s="226">
        <f t="shared" si="130"/>
        <v>1.76898375984245</v>
      </c>
      <c r="AZ200" s="226">
        <f t="shared" si="131"/>
        <v>9.2518408714849682E-5</v>
      </c>
      <c r="BA200" s="226">
        <f>AZ200*'DADOS BASE'!W$41</f>
        <v>683.51247462122603</v>
      </c>
      <c r="BB200" s="225"/>
      <c r="BC200" s="227">
        <v>0</v>
      </c>
      <c r="BD200" s="226">
        <f>IF($BC$11&gt;0,(BC200/$BC$11)*'DADOS BASE'!W$39,0)</f>
        <v>0</v>
      </c>
      <c r="BE200" s="187"/>
    </row>
    <row r="201" spans="2:57" x14ac:dyDescent="0.3">
      <c r="B201" s="184" t="s">
        <v>322</v>
      </c>
      <c r="C201" s="184" t="s">
        <v>333</v>
      </c>
      <c r="D201" s="184" t="s">
        <v>94</v>
      </c>
      <c r="E201" s="184">
        <v>2008</v>
      </c>
      <c r="F201" s="185"/>
      <c r="H201" s="186">
        <f ca="1">IF(AND(E201&gt;=2018,SUMIF('DADOS BASE'!$C$101:$D$104,D201,'DADOS BASE'!$H$101:$H$104)&gt;J201),
SUMIF('DADOS BASE'!$C$101:$D$104,D201,'DADOS BASE'!$H$101:$H$104),
J201)</f>
        <v>2144389.9494502638</v>
      </c>
      <c r="J201" s="186">
        <f t="shared" si="120"/>
        <v>2144389.9494502638</v>
      </c>
      <c r="K201" s="186"/>
      <c r="L201" s="188">
        <v>2150.7776262019001</v>
      </c>
      <c r="M201" s="186">
        <f t="shared" si="121"/>
        <v>1.6779370287654505E-3</v>
      </c>
      <c r="N201" s="186">
        <f>L201*'DADOS BASE'!$I$29</f>
        <v>2117948.4377294211</v>
      </c>
      <c r="O201" s="187"/>
      <c r="P201" s="188">
        <v>65.669469933181006</v>
      </c>
      <c r="Q201" s="186">
        <f>P201*'DADOS BASE'!$I$33</f>
        <v>16166.774932598682</v>
      </c>
      <c r="R201" s="186"/>
      <c r="S201" s="188">
        <v>13.0425</v>
      </c>
      <c r="T201" s="186">
        <f>S201*'DADOS BASE'!$I$37</f>
        <v>10274.736788244007</v>
      </c>
      <c r="U201" s="186"/>
      <c r="V201" s="186">
        <f t="shared" si="122"/>
        <v>26441.511720842689</v>
      </c>
      <c r="W201" s="187"/>
      <c r="X201" s="186"/>
      <c r="Y201" s="186"/>
      <c r="Z201" s="185"/>
      <c r="AA201" s="186"/>
      <c r="AB201" s="186"/>
      <c r="AC201" s="186"/>
      <c r="AD201" s="186"/>
      <c r="AE201" s="188">
        <v>1237</v>
      </c>
      <c r="AF201" s="188">
        <v>935.05089225833001</v>
      </c>
      <c r="AG201" s="186" t="s">
        <v>155</v>
      </c>
      <c r="AH201" s="189">
        <v>0.75700000000000001</v>
      </c>
      <c r="AI201" s="183">
        <f t="shared" si="123"/>
        <v>707.83352543955584</v>
      </c>
      <c r="AJ201" s="186">
        <f t="shared" si="124"/>
        <v>4.6767144768218805E-2</v>
      </c>
      <c r="AK201" s="186"/>
      <c r="AL201" s="186">
        <f t="shared" si="125"/>
        <v>171.27342326228762</v>
      </c>
      <c r="AM201" s="187">
        <f t="shared" si="126"/>
        <v>160149.36724154066</v>
      </c>
      <c r="AN201" s="186"/>
      <c r="AO201" s="188">
        <v>1.3571904127829999</v>
      </c>
      <c r="AQ201" s="186">
        <f t="shared" si="127"/>
        <v>1269.0421064371953</v>
      </c>
      <c r="AR201" s="186">
        <f t="shared" si="128"/>
        <v>1.3502476557051889E-3</v>
      </c>
      <c r="AS201" s="187">
        <f>AR201*'DADOS BASE'!W$38</f>
        <v>405040.22685431695</v>
      </c>
      <c r="AU201" s="188">
        <v>13.0425</v>
      </c>
      <c r="AV201" s="188">
        <v>101</v>
      </c>
      <c r="AW201" s="186">
        <f t="shared" si="129"/>
        <v>3.2606250000000001</v>
      </c>
      <c r="AX201" s="186">
        <f>IF($AW$11&gt;0,(AW201/$AW$11)*'DADOS BASE'!W$40,0)</f>
        <v>585.85727785138704</v>
      </c>
      <c r="AY201" s="186">
        <f t="shared" si="130"/>
        <v>4.4252889896805696</v>
      </c>
      <c r="AZ201" s="186">
        <f t="shared" si="131"/>
        <v>2.3144401024069046E-4</v>
      </c>
      <c r="BA201" s="186">
        <f>AZ201*'DADOS BASE'!W$41</f>
        <v>1709.8745036076655</v>
      </c>
      <c r="BC201" s="188">
        <v>0</v>
      </c>
      <c r="BD201" s="186">
        <f>IF($BC$11&gt;0,(BC201/$BC$11)*'DADOS BASE'!W$39,0)</f>
        <v>0</v>
      </c>
      <c r="BE201" s="187"/>
    </row>
    <row r="202" spans="2:57" x14ac:dyDescent="0.3">
      <c r="B202" s="223" t="s">
        <v>322</v>
      </c>
      <c r="C202" s="223" t="s">
        <v>334</v>
      </c>
      <c r="D202" s="223" t="s">
        <v>94</v>
      </c>
      <c r="E202" s="223">
        <v>2010</v>
      </c>
      <c r="F202" s="224"/>
      <c r="G202" s="225"/>
      <c r="H202" s="226">
        <f ca="1">IF(AND(E202&gt;=2018,SUMIF('DADOS BASE'!$C$101:$D$104,D202,'DADOS BASE'!$H$101:$H$104)&gt;J202),
SUMIF('DADOS BASE'!$C$101:$D$104,D202,'DADOS BASE'!$H$101:$H$104),
J202)</f>
        <v>1842538.7137430348</v>
      </c>
      <c r="I202" s="225"/>
      <c r="J202" s="226">
        <f t="shared" si="120"/>
        <v>1842538.7137430348</v>
      </c>
      <c r="K202" s="226"/>
      <c r="L202" s="227">
        <v>1765.5278163677001</v>
      </c>
      <c r="M202" s="226">
        <f t="shared" si="121"/>
        <v>1.3773829810709956E-3</v>
      </c>
      <c r="N202" s="226">
        <f>L202*'DADOS BASE'!$I$29</f>
        <v>1738579.0306211729</v>
      </c>
      <c r="O202" s="228"/>
      <c r="P202" s="227">
        <v>35.3577478602</v>
      </c>
      <c r="Q202" s="226">
        <f>P202*'DADOS BASE'!$I$33</f>
        <v>8704.5129549705944</v>
      </c>
      <c r="R202" s="226"/>
      <c r="S202" s="227">
        <v>120.91458715742</v>
      </c>
      <c r="T202" s="226">
        <f>S202*'DADOS BASE'!$I$37</f>
        <v>95255.170166891286</v>
      </c>
      <c r="U202" s="226"/>
      <c r="V202" s="226">
        <f t="shared" si="122"/>
        <v>103959.68312186188</v>
      </c>
      <c r="W202" s="228"/>
      <c r="X202" s="226"/>
      <c r="Y202" s="226"/>
      <c r="Z202" s="224"/>
      <c r="AA202" s="226"/>
      <c r="AB202" s="226"/>
      <c r="AC202" s="226"/>
      <c r="AD202" s="226"/>
      <c r="AE202" s="227">
        <v>930</v>
      </c>
      <c r="AF202" s="227">
        <v>803.45295934774003</v>
      </c>
      <c r="AG202" s="226" t="s">
        <v>155</v>
      </c>
      <c r="AH202" s="229">
        <v>0.70099999999999996</v>
      </c>
      <c r="AI202" s="225">
        <f t="shared" si="123"/>
        <v>563.22052450276578</v>
      </c>
      <c r="AJ202" s="226">
        <f t="shared" si="124"/>
        <v>-2.8765322764250069E-2</v>
      </c>
      <c r="AK202" s="226"/>
      <c r="AL202" s="226">
        <f t="shared" si="125"/>
        <v>184.84482316812486</v>
      </c>
      <c r="AM202" s="228">
        <f t="shared" si="126"/>
        <v>148514.12019453963</v>
      </c>
      <c r="AN202" s="226"/>
      <c r="AO202" s="227">
        <v>0.42115384615384999</v>
      </c>
      <c r="AP202" s="225"/>
      <c r="AQ202" s="226">
        <f t="shared" si="127"/>
        <v>338.37730403299361</v>
      </c>
      <c r="AR202" s="226">
        <f t="shared" si="128"/>
        <v>3.6002994636411863E-4</v>
      </c>
      <c r="AS202" s="228">
        <f>AR202*'DADOS BASE'!W$38</f>
        <v>107999.89952473559</v>
      </c>
      <c r="AT202" s="225"/>
      <c r="AU202" s="227">
        <v>88.524096857396003</v>
      </c>
      <c r="AV202" s="227">
        <v>189</v>
      </c>
      <c r="AW202" s="226">
        <f t="shared" si="129"/>
        <v>22.131024214349001</v>
      </c>
      <c r="AX202" s="226">
        <f>IF($AW$11&gt;0,(AW202/$AW$11)*'DADOS BASE'!W$40,0)</f>
        <v>3976.4221896972626</v>
      </c>
      <c r="AY202" s="226">
        <f t="shared" si="130"/>
        <v>9.3205659671970675</v>
      </c>
      <c r="AZ202" s="226">
        <f t="shared" si="131"/>
        <v>4.8746854051597238E-4</v>
      </c>
      <c r="BA202" s="226">
        <f>AZ202*'DADOS BASE'!W$41</f>
        <v>3601.3462948221982</v>
      </c>
      <c r="BB202" s="225"/>
      <c r="BC202" s="227">
        <v>0</v>
      </c>
      <c r="BD202" s="226">
        <f>IF($BC$11&gt;0,(BC202/$BC$11)*'DADOS BASE'!W$39,0)</f>
        <v>0</v>
      </c>
      <c r="BE202" s="187"/>
    </row>
    <row r="203" spans="2:57" x14ac:dyDescent="0.3">
      <c r="B203" s="184" t="s">
        <v>322</v>
      </c>
      <c r="C203" s="184" t="s">
        <v>335</v>
      </c>
      <c r="D203" s="184" t="s">
        <v>94</v>
      </c>
      <c r="E203" s="184">
        <v>2014</v>
      </c>
      <c r="F203" s="185"/>
      <c r="H203" s="186">
        <f ca="1">IF(AND(E203&gt;=2018,SUMIF('DADOS BASE'!$C$101:$D$104,D203,'DADOS BASE'!$H$101:$H$104)&gt;J203),
SUMIF('DADOS BASE'!$C$101:$D$104,D203,'DADOS BASE'!$H$101:$H$104),
J203)</f>
        <v>1176181.5224133264</v>
      </c>
      <c r="J203" s="186">
        <f t="shared" si="120"/>
        <v>1176181.5224133264</v>
      </c>
      <c r="K203" s="186"/>
      <c r="L203" s="188">
        <v>1131.1101109217</v>
      </c>
      <c r="M203" s="186">
        <f t="shared" si="121"/>
        <v>8.8243968860607434E-4</v>
      </c>
      <c r="N203" s="186">
        <f>L203*'DADOS BASE'!$I$29</f>
        <v>1113844.9940810762</v>
      </c>
      <c r="O203" s="187"/>
      <c r="P203" s="188">
        <v>133.49509436609</v>
      </c>
      <c r="Q203" s="186">
        <f>P203*'DADOS BASE'!$I$33</f>
        <v>32864.36067503762</v>
      </c>
      <c r="R203" s="186"/>
      <c r="S203" s="188">
        <v>37.411250000000003</v>
      </c>
      <c r="T203" s="186">
        <f>S203*'DADOS BASE'!$I$37</f>
        <v>29472.167657212471</v>
      </c>
      <c r="U203" s="186"/>
      <c r="V203" s="186">
        <f t="shared" si="122"/>
        <v>62336.528332250091</v>
      </c>
      <c r="W203" s="187"/>
      <c r="X203" s="186"/>
      <c r="Y203" s="186"/>
      <c r="Z203" s="185"/>
      <c r="AA203" s="186"/>
      <c r="AB203" s="186"/>
      <c r="AC203" s="186"/>
      <c r="AD203" s="186"/>
      <c r="AE203" s="188">
        <v>584</v>
      </c>
      <c r="AF203" s="188">
        <v>466.15041203560003</v>
      </c>
      <c r="AG203" s="186" t="s">
        <v>155</v>
      </c>
      <c r="AH203" s="189">
        <v>0.70099999999999996</v>
      </c>
      <c r="AI203" s="183">
        <f t="shared" si="123"/>
        <v>326.77143883695561</v>
      </c>
      <c r="AJ203" s="186">
        <f t="shared" si="124"/>
        <v>-2.8765322764250069E-2</v>
      </c>
      <c r="AK203" s="186"/>
      <c r="AL203" s="186">
        <f t="shared" si="125"/>
        <v>184.84482316812486</v>
      </c>
      <c r="AM203" s="187">
        <f t="shared" si="126"/>
        <v>86165.490482469031</v>
      </c>
      <c r="AN203" s="186"/>
      <c r="AO203" s="188">
        <v>0.98404255319149003</v>
      </c>
      <c r="AQ203" s="186">
        <f t="shared" si="127"/>
        <v>458.71184163077692</v>
      </c>
      <c r="AR203" s="186">
        <f t="shared" si="128"/>
        <v>4.8806464786660652E-4</v>
      </c>
      <c r="AS203" s="187">
        <f>AR203*'DADOS BASE'!W$38</f>
        <v>146407.07936516876</v>
      </c>
      <c r="AU203" s="188">
        <v>37.411250000000003</v>
      </c>
      <c r="AV203" s="188">
        <v>154</v>
      </c>
      <c r="AW203" s="186">
        <f t="shared" si="129"/>
        <v>9.3528125000000006</v>
      </c>
      <c r="AX203" s="186">
        <f>IF($AW$11&gt;0,(AW203/$AW$11)*'DADOS BASE'!W$40,0)</f>
        <v>1680.4794392192987</v>
      </c>
      <c r="AY203" s="186">
        <f t="shared" si="130"/>
        <v>9.2035654920212835</v>
      </c>
      <c r="AZ203" s="186">
        <f t="shared" si="131"/>
        <v>4.8134937875322735E-4</v>
      </c>
      <c r="BA203" s="186">
        <f>AZ203*'DADOS BASE'!W$41</f>
        <v>3556.1388225238757</v>
      </c>
      <c r="BC203" s="188">
        <v>0</v>
      </c>
      <c r="BD203" s="186">
        <f>IF($BC$11&gt;0,(BC203/$BC$11)*'DADOS BASE'!W$39,0)</f>
        <v>0</v>
      </c>
      <c r="BE203" s="187"/>
    </row>
    <row r="204" spans="2:57" x14ac:dyDescent="0.3">
      <c r="B204" s="223" t="s">
        <v>322</v>
      </c>
      <c r="C204" s="223" t="s">
        <v>336</v>
      </c>
      <c r="D204" s="223" t="s">
        <v>94</v>
      </c>
      <c r="E204" s="223">
        <v>2008</v>
      </c>
      <c r="F204" s="224"/>
      <c r="G204" s="225"/>
      <c r="H204" s="226">
        <f ca="1">IF(AND(E204&gt;=2018,SUMIF('DADOS BASE'!$C$101:$D$104,D204,'DADOS BASE'!$H$101:$H$104)&gt;J204),
SUMIF('DADOS BASE'!$C$101:$D$104,D204,'DADOS BASE'!$H$101:$H$104),
J204)</f>
        <v>1842147.3365417835</v>
      </c>
      <c r="I204" s="225"/>
      <c r="J204" s="226">
        <f t="shared" si="120"/>
        <v>1842147.3365417835</v>
      </c>
      <c r="K204" s="226"/>
      <c r="L204" s="227">
        <v>1862.6214793283</v>
      </c>
      <c r="M204" s="226">
        <f t="shared" si="121"/>
        <v>1.4531309572240493E-3</v>
      </c>
      <c r="N204" s="226">
        <f>L204*'DADOS BASE'!$I$29</f>
        <v>1834190.6686053246</v>
      </c>
      <c r="O204" s="228"/>
      <c r="P204" s="227">
        <v>0</v>
      </c>
      <c r="Q204" s="226">
        <f>P204*'DADOS BASE'!$I$33</f>
        <v>0</v>
      </c>
      <c r="R204" s="226"/>
      <c r="S204" s="227">
        <v>10.1</v>
      </c>
      <c r="T204" s="226">
        <f>S204*'DADOS BASE'!$I$37</f>
        <v>7956.6679364588435</v>
      </c>
      <c r="U204" s="226"/>
      <c r="V204" s="226">
        <f t="shared" si="122"/>
        <v>7956.6679364588435</v>
      </c>
      <c r="W204" s="228"/>
      <c r="X204" s="226"/>
      <c r="Y204" s="226"/>
      <c r="Z204" s="224"/>
      <c r="AA204" s="226"/>
      <c r="AB204" s="226"/>
      <c r="AC204" s="226"/>
      <c r="AD204" s="226"/>
      <c r="AE204" s="227">
        <v>1025</v>
      </c>
      <c r="AF204" s="227">
        <v>824.69214326289</v>
      </c>
      <c r="AG204" s="226" t="s">
        <v>155</v>
      </c>
      <c r="AH204" s="229">
        <v>0.73699999999999999</v>
      </c>
      <c r="AI204" s="225">
        <f t="shared" si="123"/>
        <v>607.79810958474991</v>
      </c>
      <c r="AJ204" s="226">
        <f t="shared" si="124"/>
        <v>1.9791263506622778E-2</v>
      </c>
      <c r="AK204" s="226"/>
      <c r="AL204" s="226">
        <f t="shared" si="125"/>
        <v>176.12035180008664</v>
      </c>
      <c r="AM204" s="228">
        <f t="shared" si="126"/>
        <v>145245.07039822763</v>
      </c>
      <c r="AN204" s="226"/>
      <c r="AO204" s="227">
        <v>0.91784820683903001</v>
      </c>
      <c r="AP204" s="225"/>
      <c r="AQ204" s="226">
        <f t="shared" si="127"/>
        <v>756.94220488808003</v>
      </c>
      <c r="AR204" s="226">
        <f t="shared" si="128"/>
        <v>8.0537866511289655E-4</v>
      </c>
      <c r="AS204" s="228">
        <f>AR204*'DADOS BASE'!W$38</f>
        <v>241593.27797579896</v>
      </c>
      <c r="AT204" s="225"/>
      <c r="AU204" s="227">
        <v>10.1</v>
      </c>
      <c r="AV204" s="227">
        <v>101</v>
      </c>
      <c r="AW204" s="226">
        <f t="shared" si="129"/>
        <v>2.5249999999999999</v>
      </c>
      <c r="AX204" s="226">
        <f>IF($AW$11&gt;0,(AW204/$AW$11)*'DADOS BASE'!W$40,0)</f>
        <v>453.68284502963456</v>
      </c>
      <c r="AY204" s="226">
        <f t="shared" si="130"/>
        <v>2.3175667222685505</v>
      </c>
      <c r="AZ204" s="226">
        <f t="shared" si="131"/>
        <v>1.212094707154761E-4</v>
      </c>
      <c r="BA204" s="226">
        <f>AZ204*'DADOS BASE'!W$41</f>
        <v>895.47784518873311</v>
      </c>
      <c r="BB204" s="225"/>
      <c r="BC204" s="227">
        <v>0</v>
      </c>
      <c r="BD204" s="226">
        <f>IF($BC$11&gt;0,(BC204/$BC$11)*'DADOS BASE'!W$39,0)</f>
        <v>0</v>
      </c>
      <c r="BE204" s="187"/>
    </row>
    <row r="205" spans="2:57" x14ac:dyDescent="0.3">
      <c r="B205" s="184" t="s">
        <v>322</v>
      </c>
      <c r="C205" s="184" t="s">
        <v>337</v>
      </c>
      <c r="D205" s="184" t="s">
        <v>94</v>
      </c>
      <c r="E205" s="184">
        <v>2014</v>
      </c>
      <c r="F205" s="185"/>
      <c r="H205" s="186">
        <f ca="1">IF(AND(E205&gt;=2018,SUMIF('DADOS BASE'!$C$101:$D$104,D205,'DADOS BASE'!$H$101:$H$104)&gt;J205),
SUMIF('DADOS BASE'!$C$101:$D$104,D205,'DADOS BASE'!$H$101:$H$104),
J205)</f>
        <v>1487913.6246780229</v>
      </c>
      <c r="J205" s="186">
        <f t="shared" si="120"/>
        <v>1487913.6246780229</v>
      </c>
      <c r="K205" s="186"/>
      <c r="L205" s="188">
        <v>1498.7769797367</v>
      </c>
      <c r="M205" s="186">
        <f t="shared" si="121"/>
        <v>1.1692763405775624E-3</v>
      </c>
      <c r="N205" s="186">
        <f>L205*'DADOS BASE'!$I$29</f>
        <v>1475899.8438828746</v>
      </c>
      <c r="O205" s="187"/>
      <c r="P205" s="188">
        <v>0</v>
      </c>
      <c r="Q205" s="186">
        <f>P205*'DADOS BASE'!$I$33</f>
        <v>0</v>
      </c>
      <c r="R205" s="186"/>
      <c r="S205" s="188">
        <v>15.25</v>
      </c>
      <c r="T205" s="186">
        <f>S205*'DADOS BASE'!$I$37</f>
        <v>12013.780795148254</v>
      </c>
      <c r="U205" s="186"/>
      <c r="V205" s="186">
        <f t="shared" si="122"/>
        <v>12013.780795148254</v>
      </c>
      <c r="W205" s="187"/>
      <c r="X205" s="186"/>
      <c r="Y205" s="186"/>
      <c r="Z205" s="185"/>
      <c r="AA205" s="186"/>
      <c r="AB205" s="186"/>
      <c r="AC205" s="186"/>
      <c r="AD205" s="186"/>
      <c r="AE205" s="188">
        <v>702</v>
      </c>
      <c r="AF205" s="188">
        <v>599.51079189466998</v>
      </c>
      <c r="AG205" s="186" t="s">
        <v>155</v>
      </c>
      <c r="AH205" s="189">
        <v>0.746</v>
      </c>
      <c r="AI205" s="183">
        <f t="shared" si="123"/>
        <v>447.23505075342382</v>
      </c>
      <c r="AJ205" s="186">
        <f t="shared" si="124"/>
        <v>3.1930410074340991E-2</v>
      </c>
      <c r="AK205" s="186"/>
      <c r="AL205" s="186">
        <f t="shared" si="125"/>
        <v>173.9392339580771</v>
      </c>
      <c r="AM205" s="187">
        <f t="shared" si="126"/>
        <v>104278.44789175907</v>
      </c>
      <c r="AN205" s="186"/>
      <c r="AO205" s="188">
        <v>1.2243935309973</v>
      </c>
      <c r="AQ205" s="186">
        <f t="shared" si="127"/>
        <v>734.03713535890245</v>
      </c>
      <c r="AR205" s="186">
        <f t="shared" si="128"/>
        <v>7.810079083991066E-4</v>
      </c>
      <c r="AS205" s="187">
        <f>AR205*'DADOS BASE'!W$38</f>
        <v>234282.66589196646</v>
      </c>
      <c r="AU205" s="188">
        <v>15.25</v>
      </c>
      <c r="AV205" s="188">
        <v>71.25</v>
      </c>
      <c r="AW205" s="186">
        <f t="shared" si="129"/>
        <v>3.8125</v>
      </c>
      <c r="AX205" s="186">
        <f>IF($AW$11&gt;0,(AW205/$AW$11)*'DADOS BASE'!W$40,0)</f>
        <v>685.01617690118087</v>
      </c>
      <c r="AY205" s="186">
        <f t="shared" si="130"/>
        <v>4.6680003369272063</v>
      </c>
      <c r="AZ205" s="186">
        <f t="shared" si="131"/>
        <v>2.4413789027172934E-4</v>
      </c>
      <c r="BA205" s="186">
        <f>AZ205*'DADOS BASE'!W$41</f>
        <v>1803.6550330512912</v>
      </c>
      <c r="BC205" s="188">
        <v>0</v>
      </c>
      <c r="BD205" s="186">
        <f>IF($BC$11&gt;0,(BC205/$BC$11)*'DADOS BASE'!W$39,0)</f>
        <v>0</v>
      </c>
      <c r="BE205" s="187"/>
    </row>
    <row r="206" spans="2:57" x14ac:dyDescent="0.3">
      <c r="F206" s="185"/>
      <c r="H206" s="186"/>
      <c r="J206" s="186"/>
      <c r="K206" s="186"/>
      <c r="L206" s="186"/>
      <c r="M206" s="186"/>
      <c r="N206" s="186"/>
      <c r="O206" s="187"/>
      <c r="P206" s="186"/>
      <c r="Q206" s="186"/>
      <c r="R206" s="186"/>
      <c r="S206" s="186"/>
      <c r="T206" s="186"/>
      <c r="U206" s="186"/>
      <c r="V206" s="186"/>
      <c r="W206" s="187"/>
      <c r="X206" s="186"/>
      <c r="Y206" s="186"/>
      <c r="Z206" s="185"/>
      <c r="AA206" s="186"/>
      <c r="AB206" s="186"/>
      <c r="AC206" s="186"/>
      <c r="AD206" s="186"/>
      <c r="AE206" s="186"/>
      <c r="AF206" s="186"/>
      <c r="AG206" s="186"/>
      <c r="AH206" s="185"/>
      <c r="AJ206" s="186"/>
      <c r="AK206" s="186"/>
      <c r="AL206" s="186"/>
      <c r="AM206" s="187"/>
      <c r="AN206" s="186"/>
      <c r="AO206" s="186"/>
      <c r="AQ206" s="186"/>
      <c r="AR206" s="186"/>
      <c r="AS206" s="187"/>
      <c r="AU206" s="186"/>
      <c r="AV206" s="186"/>
      <c r="AW206" s="186"/>
      <c r="AX206" s="186"/>
      <c r="AY206" s="186"/>
      <c r="AZ206" s="186"/>
      <c r="BA206" s="186"/>
      <c r="BC206" s="186"/>
      <c r="BD206" s="186"/>
      <c r="BE206" s="187"/>
    </row>
    <row r="207" spans="2:57" x14ac:dyDescent="0.3">
      <c r="B207" s="209" t="s">
        <v>322</v>
      </c>
      <c r="C207" s="209" t="s">
        <v>338</v>
      </c>
      <c r="D207" s="211" t="s">
        <v>154</v>
      </c>
      <c r="E207" s="211"/>
      <c r="F207" s="210"/>
      <c r="G207" s="211"/>
      <c r="H207" s="212">
        <f ca="1">SUM(H208:H220)</f>
        <v>30394494.224781707</v>
      </c>
      <c r="I207" s="211"/>
      <c r="J207" s="212">
        <f>SUM(J208:J220)</f>
        <v>30394494.224781707</v>
      </c>
      <c r="K207" s="212"/>
      <c r="L207" s="212">
        <f>SUM(L208:L220)</f>
        <v>30170.844212253942</v>
      </c>
      <c r="M207" s="212">
        <f>SUM(M208:M220)</f>
        <v>2.3537894422983159E-2</v>
      </c>
      <c r="N207" s="212">
        <f>SUM(N208:N220)</f>
        <v>29710320.391031656</v>
      </c>
      <c r="O207" s="214"/>
      <c r="P207" s="212">
        <f>SUM(P208:P220)</f>
        <v>1119.24729538928</v>
      </c>
      <c r="Q207" s="212">
        <f>SUM(Q208:Q220)</f>
        <v>275540.81275347044</v>
      </c>
      <c r="R207" s="212"/>
      <c r="S207" s="212">
        <f>SUM(S208:S220)</f>
        <v>518.70877923080423</v>
      </c>
      <c r="T207" s="212">
        <f>SUM(T208:T220)</f>
        <v>408633.02099657903</v>
      </c>
      <c r="U207" s="212"/>
      <c r="V207" s="212">
        <f>SUM(V208:V220)</f>
        <v>684173.83375004935</v>
      </c>
      <c r="W207" s="214"/>
      <c r="X207" s="212">
        <f>SUMIF(INDICADORES!$D$13:$D$53,C207,INDICADORES!$L$13:$L$53)</f>
        <v>1.6666360074317987E-2</v>
      </c>
      <c r="Y207" s="212">
        <f>X207*'DADOS BASE'!$I$79</f>
        <v>692040.87818285171</v>
      </c>
      <c r="Z207" s="210">
        <f>SUMIF(INDICADORES!$D$13:$D$53,C207,INDICADORES!$R$13:$R$53)</f>
        <v>3.5732706745372225E-2</v>
      </c>
      <c r="AA207" s="212">
        <f>Z207*'DADOS BASE'!$I$84</f>
        <v>1483736.9194982806</v>
      </c>
      <c r="AB207" s="212">
        <f>SUMIF(INDICADORES!$D$13:$D$53,C207,INDICADORES!$Z$13:$Z$53)</f>
        <v>2.2679920724906523E-3</v>
      </c>
      <c r="AC207" s="212">
        <f>AB207*'DADOS BASE'!$I$89</f>
        <v>188348.65184231359</v>
      </c>
      <c r="AD207" s="212"/>
      <c r="AE207" s="212">
        <f>SUM(AE208:AE220)</f>
        <v>16383</v>
      </c>
      <c r="AF207" s="212">
        <f>SUM(AF208:AF220)</f>
        <v>11619.668559806409</v>
      </c>
      <c r="AG207" s="212" t="s">
        <v>155</v>
      </c>
      <c r="AH207" s="210"/>
      <c r="AI207" s="211"/>
      <c r="AJ207" s="212"/>
      <c r="AK207" s="212"/>
      <c r="AL207" s="212"/>
      <c r="AM207" s="214">
        <f>SUM(AM208:AM220)</f>
        <v>2059117.343082679</v>
      </c>
      <c r="AN207" s="212"/>
      <c r="AO207" s="212"/>
      <c r="AP207" s="211"/>
      <c r="AQ207" s="212">
        <f>SUM(AQ208:AQ220)</f>
        <v>18265.052615350149</v>
      </c>
      <c r="AR207" s="212"/>
      <c r="AS207" s="214">
        <f>SUM(AS208:AS220)</f>
        <v>5829657.6743205087</v>
      </c>
      <c r="AT207" s="211"/>
      <c r="AU207" s="212">
        <f t="shared" ref="AU207:BA207" si="132">SUM(AU208:AU220)</f>
        <v>216.94028043935288</v>
      </c>
      <c r="AV207" s="212">
        <f t="shared" si="132"/>
        <v>229.75</v>
      </c>
      <c r="AW207" s="212">
        <f t="shared" si="132"/>
        <v>54.235070109838219</v>
      </c>
      <c r="AX207" s="212">
        <f t="shared" si="132"/>
        <v>9744.7607555695449</v>
      </c>
      <c r="AY207" s="212">
        <f t="shared" si="132"/>
        <v>94.777333187921315</v>
      </c>
      <c r="AZ207" s="212">
        <f t="shared" si="132"/>
        <v>4.9568844258720329E-3</v>
      </c>
      <c r="BA207" s="212">
        <f t="shared" si="132"/>
        <v>36620.737293284226</v>
      </c>
      <c r="BB207" s="211"/>
      <c r="BC207" s="212">
        <f>SUM(BC208:BC220)</f>
        <v>513</v>
      </c>
      <c r="BD207" s="212">
        <f>SUM(BD208:BD220)</f>
        <v>2771843.6584196761</v>
      </c>
      <c r="BE207" s="187"/>
    </row>
    <row r="208" spans="2:57" x14ac:dyDescent="0.3">
      <c r="B208" s="216" t="s">
        <v>322</v>
      </c>
      <c r="C208" s="218" t="s">
        <v>156</v>
      </c>
      <c r="D208" s="218" t="s">
        <v>157</v>
      </c>
      <c r="E208" s="218"/>
      <c r="F208" s="217"/>
      <c r="G208" s="218"/>
      <c r="H208" s="219"/>
      <c r="I208" s="218"/>
      <c r="J208" s="219"/>
      <c r="K208" s="219"/>
      <c r="L208" s="219">
        <v>0</v>
      </c>
      <c r="M208" s="219">
        <v>0</v>
      </c>
      <c r="N208" s="219">
        <v>0</v>
      </c>
      <c r="O208" s="221"/>
      <c r="P208" s="219"/>
      <c r="Q208" s="219"/>
      <c r="R208" s="219"/>
      <c r="S208" s="219"/>
      <c r="T208" s="219"/>
      <c r="U208" s="219"/>
      <c r="V208" s="219"/>
      <c r="W208" s="221"/>
      <c r="X208" s="219"/>
      <c r="Y208" s="219"/>
      <c r="Z208" s="217"/>
      <c r="AA208" s="219"/>
      <c r="AB208" s="219"/>
      <c r="AC208" s="219"/>
      <c r="AD208" s="219"/>
      <c r="AE208" s="219"/>
      <c r="AF208" s="219"/>
      <c r="AG208" s="219" t="s">
        <v>155</v>
      </c>
      <c r="AH208" s="217"/>
      <c r="AI208" s="218"/>
      <c r="AJ208" s="219"/>
      <c r="AK208" s="219"/>
      <c r="AL208" s="219"/>
      <c r="AM208" s="221"/>
      <c r="AN208" s="219"/>
      <c r="AO208" s="219"/>
      <c r="AP208" s="218"/>
      <c r="AQ208" s="219"/>
      <c r="AR208" s="219"/>
      <c r="AS208" s="221"/>
      <c r="AT208" s="218"/>
      <c r="AU208" s="219"/>
      <c r="AV208" s="219"/>
      <c r="AW208" s="219"/>
      <c r="AX208" s="219"/>
      <c r="AY208" s="219"/>
      <c r="AZ208" s="219"/>
      <c r="BA208" s="219"/>
      <c r="BB208" s="218"/>
      <c r="BC208" s="219"/>
      <c r="BD208" s="219"/>
      <c r="BE208" s="187"/>
    </row>
    <row r="209" spans="2:57" x14ac:dyDescent="0.3">
      <c r="B209" s="184" t="s">
        <v>322</v>
      </c>
      <c r="C209" s="184" t="s">
        <v>339</v>
      </c>
      <c r="D209" s="184" t="s">
        <v>96</v>
      </c>
      <c r="E209" s="184">
        <v>2014</v>
      </c>
      <c r="F209" s="185"/>
      <c r="H209" s="186">
        <f ca="1">IF(AND(E209&gt;=2018,SUMIF('DADOS BASE'!$C$101:$D$104,D209,'DADOS BASE'!$H$101:$H$104)&gt;J209),
SUMIF('DADOS BASE'!$C$101:$D$104,D209,'DADOS BASE'!$H$101:$H$104),
J209)</f>
        <v>720122.44990350236</v>
      </c>
      <c r="J209" s="186">
        <f t="shared" ref="J209:J220" si="133">N209+Q209+T209</f>
        <v>720122.44990350236</v>
      </c>
      <c r="K209" s="186"/>
      <c r="L209" s="188">
        <v>730.03809900067995</v>
      </c>
      <c r="M209" s="186">
        <f t="shared" ref="M209:M220" si="134">L209/$L$11</f>
        <v>5.695418921043714E-4</v>
      </c>
      <c r="N209" s="186">
        <f>L209*'DADOS BASE'!$I$29</f>
        <v>718894.89290991053</v>
      </c>
      <c r="O209" s="187"/>
      <c r="P209" s="188">
        <v>0</v>
      </c>
      <c r="Q209" s="186">
        <f>P209*'DADOS BASE'!$I$33</f>
        <v>0</v>
      </c>
      <c r="R209" s="186"/>
      <c r="S209" s="188">
        <v>1.5582308743169</v>
      </c>
      <c r="T209" s="186">
        <f>S209*'DADOS BASE'!$I$37</f>
        <v>1227.5569935918327</v>
      </c>
      <c r="U209" s="186"/>
      <c r="V209" s="186">
        <f t="shared" ref="V209:V220" si="135">T209+Q209</f>
        <v>1227.5569935918327</v>
      </c>
      <c r="W209" s="187"/>
      <c r="X209" s="186"/>
      <c r="Y209" s="186"/>
      <c r="Z209" s="185"/>
      <c r="AA209" s="186"/>
      <c r="AB209" s="186"/>
      <c r="AC209" s="186"/>
      <c r="AD209" s="186"/>
      <c r="AE209" s="188">
        <v>507</v>
      </c>
      <c r="AF209" s="188">
        <v>391.82249884022002</v>
      </c>
      <c r="AG209" s="186" t="s">
        <v>155</v>
      </c>
      <c r="AH209" s="189">
        <v>0.76600000000000001</v>
      </c>
      <c r="AI209" s="183">
        <f t="shared" ref="AI209:AI220" si="136">AF209*AH209</f>
        <v>300.13603411160852</v>
      </c>
      <c r="AJ209" s="186">
        <f t="shared" ref="AJ209:AJ220" si="137">(AH209-$AI$12)*$AJ$12</f>
        <v>5.8906291335937014E-2</v>
      </c>
      <c r="AK209" s="186"/>
      <c r="AL209" s="186">
        <f t="shared" ref="AL209:AL220" si="138">$AL$11-(AJ209*$AL$11)</f>
        <v>169.09230542027808</v>
      </c>
      <c r="AM209" s="187">
        <f t="shared" ref="AM209:AM220" si="139">AF209*AL209</f>
        <v>66254.169644427035</v>
      </c>
      <c r="AN209" s="186"/>
      <c r="AO209" s="188">
        <v>1.8409090909090999</v>
      </c>
      <c r="AQ209" s="186">
        <f t="shared" ref="AQ209:AQ220" si="140">AF209*AO209</f>
        <v>721.30960013768129</v>
      </c>
      <c r="AR209" s="186">
        <f t="shared" ref="AR209:AR220" si="141">AQ209/$AQ$11</f>
        <v>7.6746594276361918E-4</v>
      </c>
      <c r="AS209" s="187">
        <f>AR209*'DADOS BASE'!W$38</f>
        <v>230220.41789629302</v>
      </c>
      <c r="AU209" s="188">
        <v>1.0388205828779999</v>
      </c>
      <c r="AV209" s="188">
        <v>1.25</v>
      </c>
      <c r="AW209" s="186">
        <f t="shared" ref="AW209:AW220" si="142">AU209/4</f>
        <v>0.25970514571949999</v>
      </c>
      <c r="AX209" s="186">
        <f>IF($AW$11&gt;0,(AW209/$AW$11)*'DADOS BASE'!W$40,0)</f>
        <v>46.662878961924186</v>
      </c>
      <c r="AY209" s="186">
        <f t="shared" ref="AY209:AY220" si="143">AO209*AW209</f>
        <v>0.47809356371090006</v>
      </c>
      <c r="AZ209" s="186">
        <f t="shared" ref="AZ209:AZ220" si="144">IF($AY$11&gt;0,AY209/$AY$11,0)</f>
        <v>2.5004444209981624E-5</v>
      </c>
      <c r="BA209" s="186">
        <f>AZ209*'DADOS BASE'!W$41</f>
        <v>184.72917742423036</v>
      </c>
      <c r="BC209" s="188">
        <v>0</v>
      </c>
      <c r="BD209" s="186">
        <f>IF($BC$11&gt;0,(BC209/$BC$11)*'DADOS BASE'!W$39,0)</f>
        <v>0</v>
      </c>
      <c r="BE209" s="187"/>
    </row>
    <row r="210" spans="2:57" x14ac:dyDescent="0.3">
      <c r="B210" s="223" t="s">
        <v>322</v>
      </c>
      <c r="C210" s="223" t="s">
        <v>340</v>
      </c>
      <c r="D210" s="223" t="s">
        <v>96</v>
      </c>
      <c r="E210" s="223">
        <v>2014</v>
      </c>
      <c r="F210" s="224"/>
      <c r="G210" s="225"/>
      <c r="H210" s="226">
        <f ca="1">IF(AND(E210&gt;=2018,SUMIF('DADOS BASE'!$C$101:$D$104,D210,'DADOS BASE'!$H$101:$H$104)&gt;J210),
SUMIF('DADOS BASE'!$C$101:$D$104,D210,'DADOS BASE'!$H$101:$H$104),
J210)</f>
        <v>950265.74728628935</v>
      </c>
      <c r="I210" s="225"/>
      <c r="J210" s="226">
        <f t="shared" si="133"/>
        <v>950265.74728628935</v>
      </c>
      <c r="K210" s="226"/>
      <c r="L210" s="227">
        <v>902.53808843631998</v>
      </c>
      <c r="M210" s="226">
        <f t="shared" si="134"/>
        <v>7.041183895579201E-4</v>
      </c>
      <c r="N210" s="226">
        <f>L210*'DADOS BASE'!$I$29</f>
        <v>888761.86506115389</v>
      </c>
      <c r="O210" s="228"/>
      <c r="P210" s="227">
        <v>249.8288843258</v>
      </c>
      <c r="Q210" s="226">
        <f>P210*'DADOS BASE'!$I$33</f>
        <v>61503.882225135465</v>
      </c>
      <c r="R210" s="226"/>
      <c r="S210" s="227">
        <v>0</v>
      </c>
      <c r="T210" s="226">
        <f>S210*'DADOS BASE'!$I$37</f>
        <v>0</v>
      </c>
      <c r="U210" s="226"/>
      <c r="V210" s="226">
        <f t="shared" si="135"/>
        <v>61503.882225135465</v>
      </c>
      <c r="W210" s="228"/>
      <c r="X210" s="226"/>
      <c r="Y210" s="226"/>
      <c r="Z210" s="224"/>
      <c r="AA210" s="226"/>
      <c r="AB210" s="226"/>
      <c r="AC210" s="226"/>
      <c r="AD210" s="226"/>
      <c r="AE210" s="227">
        <v>361</v>
      </c>
      <c r="AF210" s="227">
        <v>321.75487449710999</v>
      </c>
      <c r="AG210" s="226" t="s">
        <v>155</v>
      </c>
      <c r="AH210" s="229">
        <v>0.70599999999999996</v>
      </c>
      <c r="AI210" s="225">
        <f t="shared" si="136"/>
        <v>227.15894139495964</v>
      </c>
      <c r="AJ210" s="226">
        <f t="shared" si="137"/>
        <v>-2.2021352448851061E-2</v>
      </c>
      <c r="AK210" s="226"/>
      <c r="AL210" s="226">
        <f t="shared" si="138"/>
        <v>183.6330910336751</v>
      </c>
      <c r="AM210" s="228">
        <f t="shared" si="139"/>
        <v>59084.842159056505</v>
      </c>
      <c r="AN210" s="226"/>
      <c r="AO210" s="227">
        <v>1.0485232067510999</v>
      </c>
      <c r="AP210" s="225"/>
      <c r="AQ210" s="226">
        <f t="shared" si="140"/>
        <v>337.36745279550746</v>
      </c>
      <c r="AR210" s="226">
        <f t="shared" si="141"/>
        <v>3.5895547510811376E-4</v>
      </c>
      <c r="AS210" s="228">
        <f>AR210*'DADOS BASE'!W$38</f>
        <v>107677.58525931784</v>
      </c>
      <c r="AT210" s="225"/>
      <c r="AU210" s="227">
        <v>0</v>
      </c>
      <c r="AV210" s="227">
        <v>25</v>
      </c>
      <c r="AW210" s="226">
        <f t="shared" si="142"/>
        <v>0</v>
      </c>
      <c r="AX210" s="226">
        <f>IF($AW$11&gt;0,(AW210/$AW$11)*'DADOS BASE'!W$40,0)</f>
        <v>0</v>
      </c>
      <c r="AY210" s="226">
        <f t="shared" si="143"/>
        <v>0</v>
      </c>
      <c r="AZ210" s="226">
        <f t="shared" si="144"/>
        <v>0</v>
      </c>
      <c r="BA210" s="226">
        <f>AZ210*'DADOS BASE'!W$41</f>
        <v>0</v>
      </c>
      <c r="BB210" s="225"/>
      <c r="BC210" s="227">
        <v>0</v>
      </c>
      <c r="BD210" s="226">
        <f>IF($BC$11&gt;0,(BC210/$BC$11)*'DADOS BASE'!W$39,0)</f>
        <v>0</v>
      </c>
      <c r="BE210" s="187"/>
    </row>
    <row r="211" spans="2:57" x14ac:dyDescent="0.3">
      <c r="B211" s="184" t="s">
        <v>322</v>
      </c>
      <c r="C211" s="184" t="s">
        <v>341</v>
      </c>
      <c r="D211" s="184" t="s">
        <v>96</v>
      </c>
      <c r="E211" s="184">
        <v>2014</v>
      </c>
      <c r="F211" s="185"/>
      <c r="H211" s="186">
        <f ca="1">IF(AND(E211&gt;=2018,SUMIF('DADOS BASE'!$C$101:$D$104,D211,'DADOS BASE'!$H$101:$H$104)&gt;J211),
SUMIF('DADOS BASE'!$C$101:$D$104,D211,'DADOS BASE'!$H$101:$H$104),
J211)</f>
        <v>480792.70650226722</v>
      </c>
      <c r="J211" s="186">
        <f t="shared" si="133"/>
        <v>480792.70650226722</v>
      </c>
      <c r="K211" s="186"/>
      <c r="L211" s="188">
        <v>488.24521766674002</v>
      </c>
      <c r="M211" s="186">
        <f t="shared" si="134"/>
        <v>3.8090629168734217E-4</v>
      </c>
      <c r="N211" s="186">
        <f>L211*'DADOS BASE'!$I$29</f>
        <v>480792.70650226722</v>
      </c>
      <c r="O211" s="187"/>
      <c r="P211" s="188">
        <v>0</v>
      </c>
      <c r="Q211" s="186">
        <f>P211*'DADOS BASE'!$I$33</f>
        <v>0</v>
      </c>
      <c r="R211" s="186"/>
      <c r="S211" s="188">
        <v>0</v>
      </c>
      <c r="T211" s="186">
        <f>S211*'DADOS BASE'!$I$37</f>
        <v>0</v>
      </c>
      <c r="U211" s="186"/>
      <c r="V211" s="186">
        <f t="shared" si="135"/>
        <v>0</v>
      </c>
      <c r="W211" s="187"/>
      <c r="X211" s="186"/>
      <c r="Y211" s="186"/>
      <c r="Z211" s="185"/>
      <c r="AA211" s="186"/>
      <c r="AB211" s="186"/>
      <c r="AC211" s="186"/>
      <c r="AD211" s="186"/>
      <c r="AE211" s="188">
        <v>545</v>
      </c>
      <c r="AF211" s="188">
        <v>337.49487279939001</v>
      </c>
      <c r="AG211" s="186" t="s">
        <v>155</v>
      </c>
      <c r="AH211" s="189">
        <v>0.70099999999999996</v>
      </c>
      <c r="AI211" s="183">
        <f t="shared" si="136"/>
        <v>236.58390583237238</v>
      </c>
      <c r="AJ211" s="186">
        <f t="shared" si="137"/>
        <v>-2.8765322764250069E-2</v>
      </c>
      <c r="AK211" s="186"/>
      <c r="AL211" s="186">
        <f t="shared" si="138"/>
        <v>184.84482316812486</v>
      </c>
      <c r="AM211" s="187">
        <f t="shared" si="139"/>
        <v>62384.180082752042</v>
      </c>
      <c r="AN211" s="186"/>
      <c r="AO211" s="188">
        <v>1.5014880952381</v>
      </c>
      <c r="AQ211" s="186">
        <f t="shared" si="140"/>
        <v>506.74453371218095</v>
      </c>
      <c r="AR211" s="186">
        <f t="shared" si="141"/>
        <v>5.3917093468809488E-4</v>
      </c>
      <c r="AS211" s="187">
        <f>AR211*'DADOS BASE'!W$38</f>
        <v>161737.67588232877</v>
      </c>
      <c r="AU211" s="188">
        <v>0</v>
      </c>
      <c r="AV211" s="188">
        <v>0</v>
      </c>
      <c r="AW211" s="186">
        <f t="shared" si="142"/>
        <v>0</v>
      </c>
      <c r="AX211" s="186">
        <f>IF($AW$11&gt;0,(AW211/$AW$11)*'DADOS BASE'!W$40,0)</f>
        <v>0</v>
      </c>
      <c r="AY211" s="186">
        <f t="shared" si="143"/>
        <v>0</v>
      </c>
      <c r="AZ211" s="186">
        <f t="shared" si="144"/>
        <v>0</v>
      </c>
      <c r="BA211" s="186">
        <f>AZ211*'DADOS BASE'!W$41</f>
        <v>0</v>
      </c>
      <c r="BC211" s="188">
        <v>0</v>
      </c>
      <c r="BD211" s="186">
        <f>IF($BC$11&gt;0,(BC211/$BC$11)*'DADOS BASE'!W$39,0)</f>
        <v>0</v>
      </c>
      <c r="BE211" s="187"/>
    </row>
    <row r="212" spans="2:57" x14ac:dyDescent="0.3">
      <c r="B212" s="223" t="s">
        <v>322</v>
      </c>
      <c r="C212" s="223" t="s">
        <v>342</v>
      </c>
      <c r="D212" s="223" t="s">
        <v>92</v>
      </c>
      <c r="E212" s="223">
        <v>2016</v>
      </c>
      <c r="F212" s="224"/>
      <c r="G212" s="225"/>
      <c r="H212" s="226">
        <f ca="1">IF(AND(E212&gt;=2018,SUMIF('DADOS BASE'!$C$101:$D$104,D212,'DADOS BASE'!$H$101:$H$104)&gt;J212),
SUMIF('DADOS BASE'!$C$101:$D$104,D212,'DADOS BASE'!$H$101:$H$104),
J212)</f>
        <v>1639363.312276694</v>
      </c>
      <c r="I212" s="225"/>
      <c r="J212" s="226">
        <f t="shared" si="133"/>
        <v>1639363.312276694</v>
      </c>
      <c r="K212" s="226"/>
      <c r="L212" s="227">
        <v>1625.9037472266</v>
      </c>
      <c r="M212" s="226">
        <f t="shared" si="134"/>
        <v>1.2684547530363384E-3</v>
      </c>
      <c r="N212" s="226">
        <f>L212*'DADOS BASE'!$I$29</f>
        <v>1601086.1650156155</v>
      </c>
      <c r="O212" s="228"/>
      <c r="P212" s="227">
        <v>155.48184357541999</v>
      </c>
      <c r="Q212" s="226">
        <f>P212*'DADOS BASE'!$I$33</f>
        <v>38277.147261078397</v>
      </c>
      <c r="R212" s="226"/>
      <c r="S212" s="227">
        <v>0</v>
      </c>
      <c r="T212" s="226">
        <f>S212*'DADOS BASE'!$I$37</f>
        <v>0</v>
      </c>
      <c r="U212" s="226"/>
      <c r="V212" s="226">
        <f t="shared" si="135"/>
        <v>38277.147261078397</v>
      </c>
      <c r="W212" s="228"/>
      <c r="X212" s="226"/>
      <c r="Y212" s="226"/>
      <c r="Z212" s="224"/>
      <c r="AA212" s="226"/>
      <c r="AB212" s="226"/>
      <c r="AC212" s="226"/>
      <c r="AD212" s="226"/>
      <c r="AE212" s="227">
        <v>805</v>
      </c>
      <c r="AF212" s="227">
        <v>709.75884072186</v>
      </c>
      <c r="AG212" s="226" t="s">
        <v>155</v>
      </c>
      <c r="AH212" s="229">
        <v>0.69199999999999995</v>
      </c>
      <c r="AI212" s="225">
        <f t="shared" si="136"/>
        <v>491.15311777952707</v>
      </c>
      <c r="AJ212" s="226">
        <f t="shared" si="137"/>
        <v>-4.0904469331968278E-2</v>
      </c>
      <c r="AK212" s="226"/>
      <c r="AL212" s="226">
        <f t="shared" si="138"/>
        <v>187.0259410101344</v>
      </c>
      <c r="AM212" s="228">
        <f t="shared" si="139"/>
        <v>132743.31507626796</v>
      </c>
      <c r="AN212" s="226"/>
      <c r="AO212" s="227">
        <v>2.0341880341879999</v>
      </c>
      <c r="AP212" s="225"/>
      <c r="AQ212" s="226">
        <f t="shared" si="140"/>
        <v>1443.7829409555541</v>
      </c>
      <c r="AR212" s="226">
        <f t="shared" si="141"/>
        <v>1.5361700935561972E-3</v>
      </c>
      <c r="AS212" s="228">
        <f>AR212*'DADOS BASE'!W$38</f>
        <v>460812.26695843419</v>
      </c>
      <c r="AT212" s="225"/>
      <c r="AU212" s="227">
        <v>0</v>
      </c>
      <c r="AV212" s="227">
        <v>15.25</v>
      </c>
      <c r="AW212" s="226">
        <f t="shared" si="142"/>
        <v>0</v>
      </c>
      <c r="AX212" s="226">
        <f>IF($AW$11&gt;0,(AW212/$AW$11)*'DADOS BASE'!W$40,0)</f>
        <v>0</v>
      </c>
      <c r="AY212" s="226">
        <f t="shared" si="143"/>
        <v>0</v>
      </c>
      <c r="AZ212" s="226">
        <f t="shared" si="144"/>
        <v>0</v>
      </c>
      <c r="BA212" s="226">
        <f>AZ212*'DADOS BASE'!W$41</f>
        <v>0</v>
      </c>
      <c r="BB212" s="225"/>
      <c r="BC212" s="227">
        <v>0</v>
      </c>
      <c r="BD212" s="226">
        <f>IF($BC$11&gt;0,(BC212/$BC$11)*'DADOS BASE'!W$39,0)</f>
        <v>0</v>
      </c>
      <c r="BE212" s="187"/>
    </row>
    <row r="213" spans="2:57" x14ac:dyDescent="0.3">
      <c r="B213" s="184" t="s">
        <v>322</v>
      </c>
      <c r="C213" s="184" t="s">
        <v>343</v>
      </c>
      <c r="D213" s="184" t="s">
        <v>92</v>
      </c>
      <c r="E213" s="184">
        <v>2009</v>
      </c>
      <c r="F213" s="185"/>
      <c r="H213" s="186">
        <f ca="1">IF(AND(E213&gt;=2018,SUMIF('DADOS BASE'!$C$101:$D$104,D213,'DADOS BASE'!$H$101:$H$104)&gt;J213),
SUMIF('DADOS BASE'!$C$101:$D$104,D213,'DADOS BASE'!$H$101:$H$104),
J213)</f>
        <v>4165438.5171247902</v>
      </c>
      <c r="J213" s="186">
        <f t="shared" si="133"/>
        <v>4165438.5171247902</v>
      </c>
      <c r="K213" s="186"/>
      <c r="L213" s="188">
        <v>4230.0047566578996</v>
      </c>
      <c r="M213" s="186">
        <f t="shared" si="134"/>
        <v>3.3000536766714522E-3</v>
      </c>
      <c r="N213" s="186">
        <f>L213*'DADOS BASE'!$I$29</f>
        <v>4165438.5171247902</v>
      </c>
      <c r="O213" s="187"/>
      <c r="P213" s="188">
        <v>0</v>
      </c>
      <c r="Q213" s="186">
        <f>P213*'DADOS BASE'!$I$33</f>
        <v>0</v>
      </c>
      <c r="R213" s="186"/>
      <c r="S213" s="188">
        <v>0</v>
      </c>
      <c r="T213" s="186">
        <f>S213*'DADOS BASE'!$I$37</f>
        <v>0</v>
      </c>
      <c r="U213" s="186"/>
      <c r="V213" s="186">
        <f t="shared" si="135"/>
        <v>0</v>
      </c>
      <c r="W213" s="187"/>
      <c r="X213" s="186"/>
      <c r="Y213" s="186"/>
      <c r="Z213" s="185"/>
      <c r="AA213" s="186"/>
      <c r="AB213" s="186"/>
      <c r="AC213" s="186"/>
      <c r="AD213" s="186"/>
      <c r="AE213" s="188">
        <v>2303</v>
      </c>
      <c r="AF213" s="188">
        <v>1583.5306395922</v>
      </c>
      <c r="AG213" s="186" t="s">
        <v>155</v>
      </c>
      <c r="AH213" s="189">
        <v>0.77500000000000002</v>
      </c>
      <c r="AI213" s="183">
        <f t="shared" si="136"/>
        <v>1227.2362456839551</v>
      </c>
      <c r="AJ213" s="186">
        <f t="shared" si="137"/>
        <v>7.1045437903655223E-2</v>
      </c>
      <c r="AK213" s="186"/>
      <c r="AL213" s="186">
        <f t="shared" si="138"/>
        <v>166.91118757826854</v>
      </c>
      <c r="AM213" s="187">
        <f t="shared" si="139"/>
        <v>264308.97962090926</v>
      </c>
      <c r="AN213" s="186"/>
      <c r="AO213" s="188">
        <v>1.5005701254276</v>
      </c>
      <c r="AQ213" s="186">
        <f t="shared" si="140"/>
        <v>2376.1987704713151</v>
      </c>
      <c r="AR213" s="186">
        <f t="shared" si="141"/>
        <v>2.5282508776057156E-3</v>
      </c>
      <c r="AS213" s="187">
        <f>AR213*'DADOS BASE'!W$38</f>
        <v>758411.46969088551</v>
      </c>
      <c r="AU213" s="188">
        <v>0</v>
      </c>
      <c r="AV213" s="188">
        <v>0</v>
      </c>
      <c r="AW213" s="186">
        <f t="shared" si="142"/>
        <v>0</v>
      </c>
      <c r="AX213" s="186">
        <f>IF($AW$11&gt;0,(AW213/$AW$11)*'DADOS BASE'!W$40,0)</f>
        <v>0</v>
      </c>
      <c r="AY213" s="186">
        <f t="shared" si="143"/>
        <v>0</v>
      </c>
      <c r="AZ213" s="186">
        <f t="shared" si="144"/>
        <v>0</v>
      </c>
      <c r="BA213" s="186">
        <f>AZ213*'DADOS BASE'!W$41</f>
        <v>0</v>
      </c>
      <c r="BC213" s="188">
        <v>171</v>
      </c>
      <c r="BD213" s="186">
        <f>IF($BC$11&gt;0,(BC213/$BC$11)*'DADOS BASE'!W$39,0)</f>
        <v>923947.88613989204</v>
      </c>
      <c r="BE213" s="187"/>
    </row>
    <row r="214" spans="2:57" x14ac:dyDescent="0.3">
      <c r="B214" s="223" t="s">
        <v>322</v>
      </c>
      <c r="C214" s="223" t="s">
        <v>344</v>
      </c>
      <c r="D214" s="223" t="s">
        <v>92</v>
      </c>
      <c r="E214" s="223">
        <v>2014</v>
      </c>
      <c r="F214" s="224"/>
      <c r="G214" s="225"/>
      <c r="H214" s="226">
        <f ca="1">IF(AND(E214&gt;=2018,SUMIF('DADOS BASE'!$C$101:$D$104,D214,'DADOS BASE'!$H$101:$H$104)&gt;J214),
SUMIF('DADOS BASE'!$C$101:$D$104,D214,'DADOS BASE'!$H$101:$H$104),
J214)</f>
        <v>1553006.2233017543</v>
      </c>
      <c r="I214" s="225"/>
      <c r="J214" s="226">
        <f t="shared" si="133"/>
        <v>1553006.2233017543</v>
      </c>
      <c r="K214" s="226"/>
      <c r="L214" s="227">
        <v>1543.2379452332</v>
      </c>
      <c r="M214" s="226">
        <f t="shared" si="134"/>
        <v>1.2039627253680638E-3</v>
      </c>
      <c r="N214" s="226">
        <f>L214*'DADOS BASE'!$I$29</f>
        <v>1519682.1630153009</v>
      </c>
      <c r="O214" s="228"/>
      <c r="P214" s="227">
        <v>135.36239504516999</v>
      </c>
      <c r="Q214" s="226">
        <f>P214*'DADOS BASE'!$I$33</f>
        <v>33324.060286453576</v>
      </c>
      <c r="R214" s="226"/>
      <c r="S214" s="227">
        <v>0</v>
      </c>
      <c r="T214" s="226">
        <f>S214*'DADOS BASE'!$I$37</f>
        <v>0</v>
      </c>
      <c r="U214" s="226"/>
      <c r="V214" s="226">
        <f t="shared" si="135"/>
        <v>33324.060286453576</v>
      </c>
      <c r="W214" s="228"/>
      <c r="X214" s="226"/>
      <c r="Y214" s="226"/>
      <c r="Z214" s="224"/>
      <c r="AA214" s="226"/>
      <c r="AB214" s="226"/>
      <c r="AC214" s="226"/>
      <c r="AD214" s="226"/>
      <c r="AE214" s="227">
        <v>541</v>
      </c>
      <c r="AF214" s="227">
        <v>507.31794858679001</v>
      </c>
      <c r="AG214" s="226" t="s">
        <v>155</v>
      </c>
      <c r="AH214" s="229">
        <v>0.69899999999999995</v>
      </c>
      <c r="AI214" s="225">
        <f t="shared" si="136"/>
        <v>354.61524606216619</v>
      </c>
      <c r="AJ214" s="226">
        <f t="shared" si="137"/>
        <v>-3.1462910890409673E-2</v>
      </c>
      <c r="AK214" s="226"/>
      <c r="AL214" s="226">
        <f t="shared" si="138"/>
        <v>185.32951602190477</v>
      </c>
      <c r="AM214" s="228">
        <f t="shared" si="139"/>
        <v>94020.989880815352</v>
      </c>
      <c r="AN214" s="226"/>
      <c r="AO214" s="227">
        <v>1.4431818181817999</v>
      </c>
      <c r="AP214" s="225"/>
      <c r="AQ214" s="226">
        <f t="shared" si="140"/>
        <v>732.15203943774452</v>
      </c>
      <c r="AR214" s="226">
        <f t="shared" si="141"/>
        <v>7.7900218586601517E-4</v>
      </c>
      <c r="AS214" s="228">
        <f>AR214*'DADOS BASE'!W$38</f>
        <v>233680.99974103665</v>
      </c>
      <c r="AT214" s="225"/>
      <c r="AU214" s="227">
        <v>0</v>
      </c>
      <c r="AV214" s="227">
        <v>13.25</v>
      </c>
      <c r="AW214" s="226">
        <f t="shared" si="142"/>
        <v>0</v>
      </c>
      <c r="AX214" s="226">
        <f>IF($AW$11&gt;0,(AW214/$AW$11)*'DADOS BASE'!W$40,0)</f>
        <v>0</v>
      </c>
      <c r="AY214" s="226">
        <f t="shared" si="143"/>
        <v>0</v>
      </c>
      <c r="AZ214" s="226">
        <f t="shared" si="144"/>
        <v>0</v>
      </c>
      <c r="BA214" s="226">
        <f>AZ214*'DADOS BASE'!W$41</f>
        <v>0</v>
      </c>
      <c r="BB214" s="225"/>
      <c r="BC214" s="227">
        <v>0</v>
      </c>
      <c r="BD214" s="226">
        <f>IF($BC$11&gt;0,(BC214/$BC$11)*'DADOS BASE'!W$39,0)</f>
        <v>0</v>
      </c>
      <c r="BE214" s="187"/>
    </row>
    <row r="215" spans="2:57" x14ac:dyDescent="0.3">
      <c r="B215" s="184" t="s">
        <v>322</v>
      </c>
      <c r="C215" s="184" t="s">
        <v>345</v>
      </c>
      <c r="D215" s="184" t="s">
        <v>92</v>
      </c>
      <c r="E215" s="184">
        <v>2009</v>
      </c>
      <c r="F215" s="185"/>
      <c r="H215" s="186">
        <f ca="1">IF(AND(E215&gt;=2018,SUMIF('DADOS BASE'!$C$101:$D$104,D215,'DADOS BASE'!$H$101:$H$104)&gt;J215),
SUMIF('DADOS BASE'!$C$101:$D$104,D215,'DADOS BASE'!$H$101:$H$104),
J215)</f>
        <v>2259170.6218670993</v>
      </c>
      <c r="J215" s="186">
        <f t="shared" si="133"/>
        <v>2259170.6218670993</v>
      </c>
      <c r="K215" s="186"/>
      <c r="L215" s="188">
        <v>1836.8131431039001</v>
      </c>
      <c r="M215" s="186">
        <f t="shared" si="134"/>
        <v>1.4329964893580144E-3</v>
      </c>
      <c r="N215" s="186">
        <f>L215*'DADOS BASE'!$I$29</f>
        <v>1808776.2674506179</v>
      </c>
      <c r="O215" s="187"/>
      <c r="P215" s="188">
        <v>347.12373512510999</v>
      </c>
      <c r="Q215" s="186">
        <f>P215*'DADOS BASE'!$I$33</f>
        <v>85456.32095463475</v>
      </c>
      <c r="R215" s="186"/>
      <c r="S215" s="188">
        <v>463.24342895791</v>
      </c>
      <c r="T215" s="186">
        <f>S215*'DADOS BASE'!$I$37</f>
        <v>364938.03346184682</v>
      </c>
      <c r="U215" s="186"/>
      <c r="V215" s="186">
        <f t="shared" si="135"/>
        <v>450394.35441648157</v>
      </c>
      <c r="W215" s="187"/>
      <c r="X215" s="186"/>
      <c r="Y215" s="186"/>
      <c r="Z215" s="185"/>
      <c r="AA215" s="186"/>
      <c r="AB215" s="186"/>
      <c r="AC215" s="186"/>
      <c r="AD215" s="186"/>
      <c r="AE215" s="188">
        <v>897</v>
      </c>
      <c r="AF215" s="188">
        <v>700.63916371970004</v>
      </c>
      <c r="AG215" s="186" t="s">
        <v>155</v>
      </c>
      <c r="AH215" s="189">
        <v>0.74299999999999999</v>
      </c>
      <c r="AI215" s="183">
        <f t="shared" si="136"/>
        <v>520.57489864373713</v>
      </c>
      <c r="AJ215" s="186">
        <f t="shared" si="137"/>
        <v>2.7884027885101588E-2</v>
      </c>
      <c r="AK215" s="186"/>
      <c r="AL215" s="186">
        <f t="shared" si="138"/>
        <v>174.66627323874695</v>
      </c>
      <c r="AM215" s="187">
        <f t="shared" si="139"/>
        <v>122378.03161203228</v>
      </c>
      <c r="AN215" s="186"/>
      <c r="AO215" s="188">
        <v>1.7413151364763999</v>
      </c>
      <c r="AQ215" s="186">
        <f t="shared" si="140"/>
        <v>1220.0335809932801</v>
      </c>
      <c r="AR215" s="186">
        <f t="shared" si="141"/>
        <v>1.2981030922942902E-3</v>
      </c>
      <c r="AS215" s="187">
        <f>AR215*'DADOS BASE'!W$38</f>
        <v>389398.1735584428</v>
      </c>
      <c r="AU215" s="188">
        <v>189.08408210947999</v>
      </c>
      <c r="AV215" s="188">
        <v>93.75</v>
      </c>
      <c r="AW215" s="186">
        <f t="shared" si="142"/>
        <v>47.271020527369998</v>
      </c>
      <c r="AX215" s="186">
        <f>IF($AW$11&gt;0,(AW215/$AW$11)*'DADOS BASE'!W$40,0)</f>
        <v>8493.4855763609812</v>
      </c>
      <c r="AY215" s="186">
        <f t="shared" si="143"/>
        <v>82.313743560995988</v>
      </c>
      <c r="AZ215" s="186">
        <f t="shared" si="144"/>
        <v>4.3050347563981092E-3</v>
      </c>
      <c r="BA215" s="186">
        <f>AZ215*'DADOS BASE'!W$41</f>
        <v>31804.967255168162</v>
      </c>
      <c r="BC215" s="188">
        <v>0</v>
      </c>
      <c r="BD215" s="186">
        <f>IF($BC$11&gt;0,(BC215/$BC$11)*'DADOS BASE'!W$39,0)</f>
        <v>0</v>
      </c>
      <c r="BE215" s="187"/>
    </row>
    <row r="216" spans="2:57" x14ac:dyDescent="0.3">
      <c r="B216" s="223" t="s">
        <v>322</v>
      </c>
      <c r="C216" s="223" t="s">
        <v>346</v>
      </c>
      <c r="D216" s="223" t="s">
        <v>92</v>
      </c>
      <c r="E216" s="223">
        <v>2009</v>
      </c>
      <c r="F216" s="224"/>
      <c r="G216" s="225"/>
      <c r="H216" s="226">
        <f ca="1">IF(AND(E216&gt;=2018,SUMIF('DADOS BASE'!$C$101:$D$104,D216,'DADOS BASE'!$H$101:$H$104)&gt;J216),
SUMIF('DADOS BASE'!$C$101:$D$104,D216,'DADOS BASE'!$H$101:$H$104),
J216)</f>
        <v>3432120.3378357911</v>
      </c>
      <c r="I216" s="225"/>
      <c r="J216" s="226">
        <f t="shared" si="133"/>
        <v>3432120.3378357911</v>
      </c>
      <c r="K216" s="226"/>
      <c r="L216" s="227">
        <v>3477.5022853649002</v>
      </c>
      <c r="M216" s="226">
        <f t="shared" si="134"/>
        <v>2.7129861223888761E-3</v>
      </c>
      <c r="N216" s="226">
        <f>L216*'DADOS BASE'!$I$29</f>
        <v>3424422.1451640166</v>
      </c>
      <c r="O216" s="228"/>
      <c r="P216" s="227">
        <v>0</v>
      </c>
      <c r="Q216" s="226">
        <f>P216*'DADOS BASE'!$I$33</f>
        <v>0</v>
      </c>
      <c r="R216" s="226"/>
      <c r="S216" s="227">
        <v>9.7718978102190004</v>
      </c>
      <c r="T216" s="226">
        <f>S216*'DADOS BASE'!$I$37</f>
        <v>7698.1926717744464</v>
      </c>
      <c r="U216" s="226"/>
      <c r="V216" s="226">
        <f t="shared" si="135"/>
        <v>7698.1926717744464</v>
      </c>
      <c r="W216" s="228"/>
      <c r="X216" s="226"/>
      <c r="Y216" s="226"/>
      <c r="Z216" s="224"/>
      <c r="AA216" s="226"/>
      <c r="AB216" s="226"/>
      <c r="AC216" s="226"/>
      <c r="AD216" s="226"/>
      <c r="AE216" s="227">
        <v>1688</v>
      </c>
      <c r="AF216" s="227">
        <v>1291.5031923930001</v>
      </c>
      <c r="AG216" s="226" t="s">
        <v>155</v>
      </c>
      <c r="AH216" s="229">
        <v>0.73399999999999999</v>
      </c>
      <c r="AI216" s="225">
        <f t="shared" si="136"/>
        <v>947.96334321646202</v>
      </c>
      <c r="AJ216" s="226">
        <f t="shared" si="137"/>
        <v>1.5744881317383375E-2</v>
      </c>
      <c r="AK216" s="226"/>
      <c r="AL216" s="226">
        <f t="shared" si="138"/>
        <v>176.84739108075649</v>
      </c>
      <c r="AM216" s="228">
        <f t="shared" si="139"/>
        <v>228398.97014717039</v>
      </c>
      <c r="AN216" s="226"/>
      <c r="AO216" s="227">
        <v>1.4508272058824001</v>
      </c>
      <c r="AP216" s="225"/>
      <c r="AQ216" s="226">
        <f t="shared" si="140"/>
        <v>1873.7479680077361</v>
      </c>
      <c r="AR216" s="226">
        <f t="shared" si="141"/>
        <v>1.9936484284889385E-3</v>
      </c>
      <c r="AS216" s="228">
        <f>AR216*'DADOS BASE'!W$38</f>
        <v>598044.22420654236</v>
      </c>
      <c r="AT216" s="225"/>
      <c r="AU216" s="227">
        <v>3.9087591240876001</v>
      </c>
      <c r="AV216" s="227">
        <v>5.25</v>
      </c>
      <c r="AW216" s="226">
        <f t="shared" si="142"/>
        <v>0.97718978102190002</v>
      </c>
      <c r="AX216" s="226">
        <f>IF($AW$11&gt;0,(AW216/$AW$11)*'DADOS BASE'!W$40,0)</f>
        <v>175.57791682689154</v>
      </c>
      <c r="AY216" s="226">
        <f t="shared" si="143"/>
        <v>1.4177335196168377</v>
      </c>
      <c r="AZ216" s="226">
        <f t="shared" si="144"/>
        <v>7.4147910339400142E-5</v>
      </c>
      <c r="BA216" s="226">
        <f>AZ216*'DADOS BASE'!W$41</f>
        <v>547.79391894082175</v>
      </c>
      <c r="BB216" s="225"/>
      <c r="BC216" s="227">
        <v>37</v>
      </c>
      <c r="BD216" s="226">
        <f>IF($BC$11&gt;0,(BC216/$BC$11)*'DADOS BASE'!W$39,0)</f>
        <v>199918.54846301756</v>
      </c>
      <c r="BE216" s="187"/>
    </row>
    <row r="217" spans="2:57" x14ac:dyDescent="0.3">
      <c r="B217" s="184" t="s">
        <v>322</v>
      </c>
      <c r="C217" s="184" t="s">
        <v>347</v>
      </c>
      <c r="D217" s="184" t="s">
        <v>92</v>
      </c>
      <c r="E217" s="184">
        <v>2015</v>
      </c>
      <c r="F217" s="185"/>
      <c r="H217" s="186">
        <f ca="1">IF(AND(E217&gt;=2018,SUMIF('DADOS BASE'!$C$101:$D$104,D217,'DADOS BASE'!$H$101:$H$104)&gt;J217),
SUMIF('DADOS BASE'!$C$101:$D$104,D217,'DADOS BASE'!$H$101:$H$104),
J217)</f>
        <v>1522668.7062092377</v>
      </c>
      <c r="J217" s="186">
        <f t="shared" si="133"/>
        <v>1522668.7062092377</v>
      </c>
      <c r="K217" s="186"/>
      <c r="L217" s="188">
        <v>1542.4229890316001</v>
      </c>
      <c r="M217" s="186">
        <f t="shared" si="134"/>
        <v>1.2033269343077388E-3</v>
      </c>
      <c r="N217" s="186">
        <f>L217*'DADOS BASE'!$I$29</f>
        <v>1518879.6461986068</v>
      </c>
      <c r="O217" s="187"/>
      <c r="P217" s="188">
        <v>0</v>
      </c>
      <c r="Q217" s="186">
        <f>P217*'DADOS BASE'!$I$33</f>
        <v>0</v>
      </c>
      <c r="R217" s="186"/>
      <c r="S217" s="188">
        <v>4.8097402597403001</v>
      </c>
      <c r="T217" s="186">
        <f>S217*'DADOS BASE'!$I$37</f>
        <v>3789.0600106307797</v>
      </c>
      <c r="U217" s="186"/>
      <c r="V217" s="186">
        <f t="shared" si="135"/>
        <v>3789.0600106307797</v>
      </c>
      <c r="W217" s="187"/>
      <c r="X217" s="186"/>
      <c r="Y217" s="186"/>
      <c r="Z217" s="185"/>
      <c r="AA217" s="186"/>
      <c r="AB217" s="186"/>
      <c r="AC217" s="186"/>
      <c r="AD217" s="186"/>
      <c r="AE217" s="188">
        <v>969</v>
      </c>
      <c r="AF217" s="188">
        <v>595.26429679107002</v>
      </c>
      <c r="AG217" s="186" t="s">
        <v>155</v>
      </c>
      <c r="AH217" s="189">
        <v>0.65900000000000003</v>
      </c>
      <c r="AI217" s="183">
        <f t="shared" si="136"/>
        <v>392.27917158531517</v>
      </c>
      <c r="AJ217" s="186">
        <f t="shared" si="137"/>
        <v>-8.5414673413601566E-2</v>
      </c>
      <c r="AK217" s="186"/>
      <c r="AL217" s="186">
        <f t="shared" si="138"/>
        <v>195.02337309750274</v>
      </c>
      <c r="AM217" s="187">
        <f t="shared" si="139"/>
        <v>116090.45104470746</v>
      </c>
      <c r="AN217" s="186"/>
      <c r="AO217" s="188">
        <v>1.8335451080051</v>
      </c>
      <c r="AQ217" s="186">
        <f t="shared" si="140"/>
        <v>1091.4439393513624</v>
      </c>
      <c r="AR217" s="186">
        <f t="shared" si="141"/>
        <v>1.1612850456004531E-3</v>
      </c>
      <c r="AS217" s="187">
        <f>AR217*'DADOS BASE'!W$38</f>
        <v>348356.21178462735</v>
      </c>
      <c r="AU217" s="188">
        <v>4.8097402597403001</v>
      </c>
      <c r="AV217" s="188">
        <v>18.75</v>
      </c>
      <c r="AW217" s="186">
        <f t="shared" si="142"/>
        <v>1.202435064935075</v>
      </c>
      <c r="AX217" s="186">
        <f>IF($AW$11&gt;0,(AW217/$AW$11)*'DADOS BASE'!W$40,0)</f>
        <v>216.04917276163889</v>
      </c>
      <c r="AY217" s="186">
        <f t="shared" si="143"/>
        <v>2.2047189310055013</v>
      </c>
      <c r="AZ217" s="186">
        <f t="shared" si="144"/>
        <v>1.1530749563144669E-4</v>
      </c>
      <c r="BA217" s="186">
        <f>AZ217*'DADOS BASE'!W$41</f>
        <v>851.87491631356033</v>
      </c>
      <c r="BC217" s="188">
        <v>0</v>
      </c>
      <c r="BD217" s="186">
        <f>IF($BC$11&gt;0,(BC217/$BC$11)*'DADOS BASE'!W$39,0)</f>
        <v>0</v>
      </c>
      <c r="BE217" s="187"/>
    </row>
    <row r="218" spans="2:57" x14ac:dyDescent="0.3">
      <c r="B218" s="223" t="s">
        <v>322</v>
      </c>
      <c r="C218" s="223" t="s">
        <v>348</v>
      </c>
      <c r="D218" s="223" t="s">
        <v>92</v>
      </c>
      <c r="E218" s="223">
        <v>2009</v>
      </c>
      <c r="F218" s="224"/>
      <c r="G218" s="225"/>
      <c r="H218" s="226">
        <f ca="1">IF(AND(E218&gt;=2018,SUMIF('DADOS BASE'!$C$101:$D$104,D218,'DADOS BASE'!$H$101:$H$104)&gt;J218),
SUMIF('DADOS BASE'!$C$101:$D$104,D218,'DADOS BASE'!$H$101:$H$104),
J218)</f>
        <v>6019930.0778833861</v>
      </c>
      <c r="I218" s="225"/>
      <c r="J218" s="226">
        <f t="shared" si="133"/>
        <v>6019930.0778833861</v>
      </c>
      <c r="K218" s="226"/>
      <c r="L218" s="227">
        <v>6113.2418014349996</v>
      </c>
      <c r="M218" s="226">
        <f t="shared" si="134"/>
        <v>4.7692679426551178E-3</v>
      </c>
      <c r="N218" s="226">
        <f>L218*'DADOS BASE'!$I$29</f>
        <v>6019930.0778833861</v>
      </c>
      <c r="O218" s="228"/>
      <c r="P218" s="227">
        <v>0</v>
      </c>
      <c r="Q218" s="226">
        <f>P218*'DADOS BASE'!$I$33</f>
        <v>0</v>
      </c>
      <c r="R218" s="226"/>
      <c r="S218" s="227">
        <v>0</v>
      </c>
      <c r="T218" s="226">
        <f>S218*'DADOS BASE'!$I$37</f>
        <v>0</v>
      </c>
      <c r="U218" s="226"/>
      <c r="V218" s="226">
        <f t="shared" si="135"/>
        <v>0</v>
      </c>
      <c r="W218" s="228"/>
      <c r="X218" s="226"/>
      <c r="Y218" s="226"/>
      <c r="Z218" s="224"/>
      <c r="AA218" s="226"/>
      <c r="AB218" s="226"/>
      <c r="AC218" s="226"/>
      <c r="AD218" s="226"/>
      <c r="AE218" s="227">
        <v>4505</v>
      </c>
      <c r="AF218" s="227">
        <v>2358.3123278253001</v>
      </c>
      <c r="AG218" s="226" t="s">
        <v>155</v>
      </c>
      <c r="AH218" s="229">
        <v>0.754</v>
      </c>
      <c r="AI218" s="225">
        <f t="shared" si="136"/>
        <v>1778.1674951802763</v>
      </c>
      <c r="AJ218" s="226">
        <f t="shared" si="137"/>
        <v>4.2720762578979402E-2</v>
      </c>
      <c r="AK218" s="226"/>
      <c r="AL218" s="226">
        <f t="shared" si="138"/>
        <v>172.00046254295748</v>
      </c>
      <c r="AM218" s="228">
        <f t="shared" si="139"/>
        <v>405630.81120671041</v>
      </c>
      <c r="AN218" s="226"/>
      <c r="AO218" s="227">
        <v>1.3086602516654</v>
      </c>
      <c r="AP218" s="225"/>
      <c r="AQ218" s="226">
        <f t="shared" si="140"/>
        <v>3086.2296044374725</v>
      </c>
      <c r="AR218" s="226">
        <f t="shared" si="141"/>
        <v>3.2837163299954558E-3</v>
      </c>
      <c r="AS218" s="228">
        <f>AR218*'DADOS BASE'!W$38</f>
        <v>985032.04327501752</v>
      </c>
      <c r="AT218" s="225"/>
      <c r="AU218" s="227">
        <v>0</v>
      </c>
      <c r="AV218" s="227">
        <v>0</v>
      </c>
      <c r="AW218" s="226">
        <f t="shared" si="142"/>
        <v>0</v>
      </c>
      <c r="AX218" s="226">
        <f>IF($AW$11&gt;0,(AW218/$AW$11)*'DADOS BASE'!W$40,0)</f>
        <v>0</v>
      </c>
      <c r="AY218" s="226">
        <f t="shared" si="143"/>
        <v>0</v>
      </c>
      <c r="AZ218" s="226">
        <f t="shared" si="144"/>
        <v>0</v>
      </c>
      <c r="BA218" s="226">
        <f>AZ218*'DADOS BASE'!W$41</f>
        <v>0</v>
      </c>
      <c r="BB218" s="225"/>
      <c r="BC218" s="227">
        <v>0</v>
      </c>
      <c r="BD218" s="226">
        <f>IF($BC$11&gt;0,(BC218/$BC$11)*'DADOS BASE'!W$39,0)</f>
        <v>0</v>
      </c>
      <c r="BE218" s="187"/>
    </row>
    <row r="219" spans="2:57" x14ac:dyDescent="0.3">
      <c r="B219" s="184" t="s">
        <v>322</v>
      </c>
      <c r="C219" s="184" t="s">
        <v>349</v>
      </c>
      <c r="D219" s="184" t="s">
        <v>94</v>
      </c>
      <c r="E219" s="184">
        <v>2016</v>
      </c>
      <c r="F219" s="185"/>
      <c r="H219" s="186">
        <f ca="1">IF(AND(E219&gt;=2018,SUMIF('DADOS BASE'!$C$101:$D$104,D219,'DADOS BASE'!$H$101:$H$104)&gt;J219),
SUMIF('DADOS BASE'!$C$101:$D$104,D219,'DADOS BASE'!$H$101:$H$104),
J219)</f>
        <v>2108886.1702951598</v>
      </c>
      <c r="J219" s="186">
        <f t="shared" si="133"/>
        <v>2108886.1702951598</v>
      </c>
      <c r="K219" s="186"/>
      <c r="L219" s="188">
        <v>2110.1145043334</v>
      </c>
      <c r="M219" s="186">
        <f t="shared" si="134"/>
        <v>1.6462135455670283E-3</v>
      </c>
      <c r="N219" s="186">
        <f>L219*'DADOS BASE'!$I$29</f>
        <v>2077905.9924364244</v>
      </c>
      <c r="O219" s="187"/>
      <c r="P219" s="188">
        <v>0</v>
      </c>
      <c r="Q219" s="186">
        <f>P219*'DADOS BASE'!$I$33</f>
        <v>0</v>
      </c>
      <c r="R219" s="186"/>
      <c r="S219" s="188">
        <v>39.325481328617997</v>
      </c>
      <c r="T219" s="186">
        <f>S219*'DADOS BASE'!$I$37</f>
        <v>30980.177858735224</v>
      </c>
      <c r="U219" s="186"/>
      <c r="V219" s="186">
        <f t="shared" si="135"/>
        <v>30980.177858735224</v>
      </c>
      <c r="W219" s="187"/>
      <c r="X219" s="186"/>
      <c r="Y219" s="186"/>
      <c r="Z219" s="185"/>
      <c r="AA219" s="186"/>
      <c r="AB219" s="186"/>
      <c r="AC219" s="186"/>
      <c r="AD219" s="186"/>
      <c r="AE219" s="188">
        <v>915</v>
      </c>
      <c r="AF219" s="188">
        <v>918.24463384096998</v>
      </c>
      <c r="AG219" s="186" t="s">
        <v>155</v>
      </c>
      <c r="AH219" s="189">
        <v>0.69899999999999995</v>
      </c>
      <c r="AI219" s="183">
        <f t="shared" si="136"/>
        <v>641.85299905483794</v>
      </c>
      <c r="AJ219" s="186">
        <f t="shared" si="137"/>
        <v>-3.1462910890409673E-2</v>
      </c>
      <c r="AK219" s="186"/>
      <c r="AL219" s="186">
        <f t="shared" si="138"/>
        <v>185.32951602190477</v>
      </c>
      <c r="AM219" s="187">
        <f t="shared" si="139"/>
        <v>170177.83357945812</v>
      </c>
      <c r="AN219" s="186"/>
      <c r="AO219" s="188">
        <v>1.8483009708738001</v>
      </c>
      <c r="AQ219" s="186">
        <f t="shared" si="140"/>
        <v>1697.1924482279219</v>
      </c>
      <c r="AR219" s="186">
        <f t="shared" si="141"/>
        <v>1.8057951843174038E-3</v>
      </c>
      <c r="AS219" s="187">
        <f>AR219*'DADOS BASE'!W$38</f>
        <v>541692.99092495628</v>
      </c>
      <c r="AU219" s="188">
        <v>18.098878363167</v>
      </c>
      <c r="AV219" s="188">
        <v>35.5</v>
      </c>
      <c r="AW219" s="186">
        <f t="shared" si="142"/>
        <v>4.5247195907917499</v>
      </c>
      <c r="AX219" s="186">
        <f>IF($AW$11&gt;0,(AW219/$AW$11)*'DADOS BASE'!W$40,0)</f>
        <v>812.98521065810883</v>
      </c>
      <c r="AY219" s="186">
        <f t="shared" si="143"/>
        <v>8.3630436125920955</v>
      </c>
      <c r="AZ219" s="186">
        <f t="shared" si="144"/>
        <v>4.3738981929309468E-4</v>
      </c>
      <c r="BA219" s="186">
        <f>AZ219*'DADOS BASE'!W$41</f>
        <v>3231.3720254374543</v>
      </c>
      <c r="BC219" s="188">
        <v>0</v>
      </c>
      <c r="BD219" s="186">
        <f>IF($BC$11&gt;0,(BC219/$BC$11)*'DADOS BASE'!W$39,0)</f>
        <v>0</v>
      </c>
      <c r="BE219" s="187"/>
    </row>
    <row r="220" spans="2:57" x14ac:dyDescent="0.3">
      <c r="B220" s="223" t="s">
        <v>322</v>
      </c>
      <c r="C220" s="223" t="s">
        <v>350</v>
      </c>
      <c r="D220" s="223" t="s">
        <v>92</v>
      </c>
      <c r="E220" s="223">
        <v>2009</v>
      </c>
      <c r="F220" s="224"/>
      <c r="G220" s="225"/>
      <c r="H220" s="226">
        <f ca="1">IF(AND(E220&gt;=2018,SUMIF('DADOS BASE'!$C$101:$D$104,D220,'DADOS BASE'!$H$101:$H$104)&gt;J220),
SUMIF('DADOS BASE'!$C$101:$D$104,D220,'DADOS BASE'!$H$101:$H$104),
J220)</f>
        <v>5542729.3542957362</v>
      </c>
      <c r="I220" s="225"/>
      <c r="J220" s="226">
        <f t="shared" si="133"/>
        <v>5542729.3542957362</v>
      </c>
      <c r="K220" s="226"/>
      <c r="L220" s="227">
        <v>5570.7816347636999</v>
      </c>
      <c r="M220" s="226">
        <f t="shared" si="134"/>
        <v>4.3460656602808973E-3</v>
      </c>
      <c r="N220" s="226">
        <f>L220*'DADOS BASE'!$I$29</f>
        <v>5485749.9522695681</v>
      </c>
      <c r="O220" s="228"/>
      <c r="P220" s="227">
        <v>231.45043731778</v>
      </c>
      <c r="Q220" s="226">
        <f>P220*'DADOS BASE'!$I$33</f>
        <v>56979.402026168238</v>
      </c>
      <c r="R220" s="226"/>
      <c r="S220" s="227">
        <v>0</v>
      </c>
      <c r="T220" s="226">
        <f>S220*'DADOS BASE'!$I$37</f>
        <v>0</v>
      </c>
      <c r="U220" s="226"/>
      <c r="V220" s="226">
        <f t="shared" si="135"/>
        <v>56979.402026168238</v>
      </c>
      <c r="W220" s="228"/>
      <c r="X220" s="226"/>
      <c r="Y220" s="226"/>
      <c r="Z220" s="224"/>
      <c r="AA220" s="226"/>
      <c r="AB220" s="226"/>
      <c r="AC220" s="226"/>
      <c r="AD220" s="226"/>
      <c r="AE220" s="227">
        <v>2347</v>
      </c>
      <c r="AF220" s="227">
        <v>1904.0252701987999</v>
      </c>
      <c r="AG220" s="226" t="s">
        <v>155</v>
      </c>
      <c r="AH220" s="229">
        <v>0.73199999999999998</v>
      </c>
      <c r="AI220" s="225">
        <f t="shared" si="136"/>
        <v>1393.7464977855216</v>
      </c>
      <c r="AJ220" s="226">
        <f t="shared" si="137"/>
        <v>1.3047293191223773E-2</v>
      </c>
      <c r="AK220" s="226"/>
      <c r="AL220" s="226">
        <f t="shared" si="138"/>
        <v>177.3320839345364</v>
      </c>
      <c r="AM220" s="228">
        <f t="shared" si="139"/>
        <v>337644.76902837196</v>
      </c>
      <c r="AN220" s="226"/>
      <c r="AO220" s="227">
        <v>1.6695417789757001</v>
      </c>
      <c r="AP220" s="225"/>
      <c r="AQ220" s="226">
        <f t="shared" si="140"/>
        <v>3178.8497368223925</v>
      </c>
      <c r="AR220" s="226">
        <f t="shared" si="141"/>
        <v>3.3822631914348649E-3</v>
      </c>
      <c r="AS220" s="228">
        <f>AR220*'DADOS BASE'!W$38</f>
        <v>1014593.6151426263</v>
      </c>
      <c r="AT220" s="225"/>
      <c r="AU220" s="227">
        <v>0</v>
      </c>
      <c r="AV220" s="227">
        <v>21.75</v>
      </c>
      <c r="AW220" s="226">
        <f t="shared" si="142"/>
        <v>0</v>
      </c>
      <c r="AX220" s="226">
        <f>IF($AW$11&gt;0,(AW220/$AW$11)*'DADOS BASE'!W$40,0)</f>
        <v>0</v>
      </c>
      <c r="AY220" s="226">
        <f t="shared" si="143"/>
        <v>0</v>
      </c>
      <c r="AZ220" s="226">
        <f t="shared" si="144"/>
        <v>0</v>
      </c>
      <c r="BA220" s="226">
        <f>AZ220*'DADOS BASE'!W$41</f>
        <v>0</v>
      </c>
      <c r="BB220" s="225"/>
      <c r="BC220" s="227">
        <v>305</v>
      </c>
      <c r="BD220" s="226">
        <f>IF($BC$11&gt;0,(BC220/$BC$11)*'DADOS BASE'!W$39,0)</f>
        <v>1647977.2238167664</v>
      </c>
      <c r="BE220" s="187"/>
    </row>
    <row r="221" spans="2:57" x14ac:dyDescent="0.3">
      <c r="F221" s="185"/>
      <c r="H221" s="186"/>
      <c r="J221" s="186"/>
      <c r="K221" s="186"/>
      <c r="L221" s="186"/>
      <c r="M221" s="186"/>
      <c r="N221" s="186"/>
      <c r="O221" s="187"/>
      <c r="P221" s="186"/>
      <c r="Q221" s="186"/>
      <c r="R221" s="186"/>
      <c r="S221" s="186"/>
      <c r="T221" s="186"/>
      <c r="U221" s="186"/>
      <c r="V221" s="186"/>
      <c r="W221" s="187"/>
      <c r="X221" s="186"/>
      <c r="Y221" s="186"/>
      <c r="Z221" s="185"/>
      <c r="AA221" s="186"/>
      <c r="AB221" s="186"/>
      <c r="AC221" s="186"/>
      <c r="AD221" s="186"/>
      <c r="AE221" s="186"/>
      <c r="AF221" s="186"/>
      <c r="AG221" s="186"/>
      <c r="AH221" s="185"/>
      <c r="AJ221" s="186"/>
      <c r="AK221" s="186"/>
      <c r="AL221" s="186"/>
      <c r="AM221" s="187"/>
      <c r="AN221" s="186"/>
      <c r="AO221" s="186"/>
      <c r="AQ221" s="186"/>
      <c r="AR221" s="186"/>
      <c r="AS221" s="187"/>
      <c r="AU221" s="186"/>
      <c r="AV221" s="186"/>
      <c r="AW221" s="186"/>
      <c r="AX221" s="186"/>
      <c r="AY221" s="186"/>
      <c r="AZ221" s="186"/>
      <c r="BA221" s="186"/>
      <c r="BC221" s="186"/>
      <c r="BD221" s="186"/>
      <c r="BE221" s="187"/>
    </row>
    <row r="222" spans="2:57" x14ac:dyDescent="0.3">
      <c r="B222" s="209" t="s">
        <v>351</v>
      </c>
      <c r="C222" s="209" t="s">
        <v>352</v>
      </c>
      <c r="D222" s="211" t="s">
        <v>154</v>
      </c>
      <c r="E222" s="211"/>
      <c r="F222" s="210"/>
      <c r="G222" s="211"/>
      <c r="H222" s="212">
        <f ca="1">SUM(H223:H253)</f>
        <v>58187578.035182461</v>
      </c>
      <c r="I222" s="211"/>
      <c r="J222" s="212">
        <f>SUM(J223:J253)</f>
        <v>57949388.895758688</v>
      </c>
      <c r="K222" s="212"/>
      <c r="L222" s="212">
        <f>SUM(L223:L253)</f>
        <v>57032.289957541056</v>
      </c>
      <c r="M222" s="212">
        <f>SUM(M223:M253)</f>
        <v>4.4493949532122733E-2</v>
      </c>
      <c r="N222" s="212">
        <f>SUM(N223:N253)</f>
        <v>56161756.540592916</v>
      </c>
      <c r="O222" s="214"/>
      <c r="P222" s="212">
        <f>SUM(P223:P253)</f>
        <v>1473.4966708296647</v>
      </c>
      <c r="Q222" s="212">
        <f>SUM(Q223:Q253)</f>
        <v>362751.35257639992</v>
      </c>
      <c r="R222" s="212"/>
      <c r="S222" s="212">
        <f>SUM(S223:S253)</f>
        <v>1808.7091532636794</v>
      </c>
      <c r="T222" s="212">
        <f>SUM(T223:T253)</f>
        <v>1424881.0025893804</v>
      </c>
      <c r="U222" s="212"/>
      <c r="V222" s="212">
        <f>SUM(V223:V253)</f>
        <v>1787632.3551657803</v>
      </c>
      <c r="W222" s="214"/>
      <c r="X222" s="212">
        <f>SUMIF(INDICADORES!$D$13:$D$53,C222,INDICADORES!$L$13:$L$53)</f>
        <v>5.9325619469840517E-2</v>
      </c>
      <c r="Y222" s="212">
        <f>X222*'DADOS BASE'!$I$79</f>
        <v>2463390.5432005483</v>
      </c>
      <c r="Z222" s="210">
        <f>SUMIF(INDICADORES!$D$13:$D$53,C222,INDICADORES!$R$13:$R$53)</f>
        <v>2.3233423118803366E-2</v>
      </c>
      <c r="AA222" s="212">
        <f>Z222*'DADOS BASE'!$I$84</f>
        <v>964726.45896488032</v>
      </c>
      <c r="AB222" s="212">
        <f>SUMIF(INDICADORES!$D$13:$D$53,C222,INDICADORES!$Z$13:$Z$53)</f>
        <v>4.1736677898308677E-2</v>
      </c>
      <c r="AC222" s="212">
        <f>AB222*'DADOS BASE'!$I$89</f>
        <v>3466082.2274790932</v>
      </c>
      <c r="AD222" s="212"/>
      <c r="AE222" s="212">
        <f>SUM(AE223:AE253)</f>
        <v>32362</v>
      </c>
      <c r="AF222" s="212">
        <f>SUM(AF223:AF253)</f>
        <v>25230.574830047502</v>
      </c>
      <c r="AG222" s="212" t="s">
        <v>155</v>
      </c>
      <c r="AH222" s="210"/>
      <c r="AI222" s="211"/>
      <c r="AJ222" s="212"/>
      <c r="AK222" s="212"/>
      <c r="AL222" s="212"/>
      <c r="AM222" s="214">
        <f>SUM(AM223:AM253)</f>
        <v>4906821.1814127704</v>
      </c>
      <c r="AN222" s="212"/>
      <c r="AO222" s="212"/>
      <c r="AP222" s="211"/>
      <c r="AQ222" s="212">
        <f>SUM(AQ223:AQ253)</f>
        <v>54976.235684632265</v>
      </c>
      <c r="AR222" s="212"/>
      <c r="AS222" s="214">
        <f>SUM(AS223:AS253)</f>
        <v>17546767.644940913</v>
      </c>
      <c r="AT222" s="211"/>
      <c r="AU222" s="212">
        <f t="shared" ref="AU222:BA222" si="145">SUM(AU223:AU253)</f>
        <v>693.57380334925472</v>
      </c>
      <c r="AV222" s="212">
        <f t="shared" si="145"/>
        <v>1245.75</v>
      </c>
      <c r="AW222" s="212">
        <f t="shared" si="145"/>
        <v>173.39345083731368</v>
      </c>
      <c r="AX222" s="212">
        <f t="shared" si="145"/>
        <v>31154.706568466747</v>
      </c>
      <c r="AY222" s="212">
        <f t="shared" si="145"/>
        <v>329.95988079401815</v>
      </c>
      <c r="AZ222" s="212">
        <f t="shared" si="145"/>
        <v>1.7257005860541585E-2</v>
      </c>
      <c r="BA222" s="212">
        <f t="shared" si="145"/>
        <v>127492.23580624082</v>
      </c>
      <c r="BB222" s="211"/>
      <c r="BC222" s="212">
        <f>SUM(BC223:BC253)</f>
        <v>335</v>
      </c>
      <c r="BD222" s="212">
        <f>SUM(BD223:BD253)</f>
        <v>1810073.3441921864</v>
      </c>
      <c r="BE222" s="187"/>
    </row>
    <row r="223" spans="2:57" x14ac:dyDescent="0.3">
      <c r="B223" s="216" t="s">
        <v>351</v>
      </c>
      <c r="C223" s="218" t="s">
        <v>156</v>
      </c>
      <c r="D223" s="218" t="s">
        <v>157</v>
      </c>
      <c r="E223" s="218"/>
      <c r="F223" s="217"/>
      <c r="G223" s="218"/>
      <c r="H223" s="219"/>
      <c r="I223" s="218"/>
      <c r="J223" s="219"/>
      <c r="K223" s="219"/>
      <c r="L223" s="219">
        <v>0</v>
      </c>
      <c r="M223" s="219">
        <v>0</v>
      </c>
      <c r="N223" s="219">
        <v>0</v>
      </c>
      <c r="O223" s="221"/>
      <c r="P223" s="219"/>
      <c r="Q223" s="219"/>
      <c r="R223" s="219"/>
      <c r="S223" s="219"/>
      <c r="T223" s="219"/>
      <c r="U223" s="219"/>
      <c r="V223" s="219"/>
      <c r="W223" s="221"/>
      <c r="X223" s="219"/>
      <c r="Y223" s="219"/>
      <c r="Z223" s="217"/>
      <c r="AA223" s="219"/>
      <c r="AB223" s="219"/>
      <c r="AC223" s="219"/>
      <c r="AD223" s="219"/>
      <c r="AE223" s="219"/>
      <c r="AF223" s="219"/>
      <c r="AG223" s="219" t="s">
        <v>155</v>
      </c>
      <c r="AH223" s="217"/>
      <c r="AI223" s="218"/>
      <c r="AJ223" s="219"/>
      <c r="AK223" s="219"/>
      <c r="AL223" s="219"/>
      <c r="AM223" s="221"/>
      <c r="AN223" s="219"/>
      <c r="AO223" s="219"/>
      <c r="AP223" s="218"/>
      <c r="AQ223" s="219"/>
      <c r="AR223" s="219"/>
      <c r="AS223" s="221"/>
      <c r="AT223" s="218"/>
      <c r="AU223" s="219"/>
      <c r="AV223" s="219"/>
      <c r="AW223" s="219"/>
      <c r="AX223" s="219"/>
      <c r="AY223" s="219"/>
      <c r="AZ223" s="219"/>
      <c r="BA223" s="219"/>
      <c r="BB223" s="218"/>
      <c r="BC223" s="219"/>
      <c r="BD223" s="219"/>
      <c r="BE223" s="187"/>
    </row>
    <row r="224" spans="2:57" x14ac:dyDescent="0.3">
      <c r="B224" s="223" t="s">
        <v>351</v>
      </c>
      <c r="C224" s="223" t="s">
        <v>353</v>
      </c>
      <c r="D224" s="223" t="s">
        <v>94</v>
      </c>
      <c r="E224" s="223">
        <v>2010</v>
      </c>
      <c r="F224" s="224"/>
      <c r="G224" s="225"/>
      <c r="H224" s="226">
        <f ca="1">IF(AND(E224&gt;=2018,SUMIF('DADOS BASE'!$C$101:$D$104,D224,'DADOS BASE'!$H$101:$H$104)&gt;J224),
SUMIF('DADOS BASE'!$C$101:$D$104,D224,'DADOS BASE'!$H$101:$H$104),
J224)</f>
        <v>2819339.3839717195</v>
      </c>
      <c r="I224" s="225"/>
      <c r="J224" s="226">
        <f t="shared" ref="J224:J253" si="146">N224+Q224+T224</f>
        <v>2819339.3839717195</v>
      </c>
      <c r="K224" s="226"/>
      <c r="L224" s="227">
        <v>2863.0404591987999</v>
      </c>
      <c r="M224" s="226">
        <f t="shared" ref="M224:M253" si="147">L224/$L$11</f>
        <v>2.2336114821069554E-3</v>
      </c>
      <c r="N224" s="226">
        <f>L224*'DADOS BASE'!$I$29</f>
        <v>2819339.3839717195</v>
      </c>
      <c r="O224" s="228"/>
      <c r="P224" s="227">
        <v>0</v>
      </c>
      <c r="Q224" s="226">
        <f>P224*'DADOS BASE'!$I$33</f>
        <v>0</v>
      </c>
      <c r="R224" s="226"/>
      <c r="S224" s="227">
        <v>0</v>
      </c>
      <c r="T224" s="226">
        <f>S224*'DADOS BASE'!$I$37</f>
        <v>0</v>
      </c>
      <c r="U224" s="226"/>
      <c r="V224" s="226">
        <f t="shared" ref="V224:V253" si="148">T224+Q224</f>
        <v>0</v>
      </c>
      <c r="W224" s="228"/>
      <c r="X224" s="226"/>
      <c r="Y224" s="226"/>
      <c r="Z224" s="224"/>
      <c r="AA224" s="226"/>
      <c r="AB224" s="226"/>
      <c r="AC224" s="226"/>
      <c r="AD224" s="226"/>
      <c r="AE224" s="227">
        <v>1280</v>
      </c>
      <c r="AF224" s="227">
        <v>1217.1329429692</v>
      </c>
      <c r="AG224" s="226" t="s">
        <v>155</v>
      </c>
      <c r="AH224" s="229">
        <v>0.67200000000000004</v>
      </c>
      <c r="AI224" s="225">
        <f t="shared" ref="AI224:AI253" si="149">AF224*AH224</f>
        <v>817.9133376753025</v>
      </c>
      <c r="AJ224" s="226">
        <f t="shared" ref="AJ224:AJ253" si="150">(AH224-$AI$12)*$AJ$12</f>
        <v>-6.7880350593564162E-2</v>
      </c>
      <c r="AK224" s="226"/>
      <c r="AL224" s="226">
        <f t="shared" ref="AL224:AL253" si="151">$AL$11-(AJ224*$AL$11)</f>
        <v>191.87286954793339</v>
      </c>
      <c r="AM224" s="228">
        <f t="shared" ref="AM224:AM253" si="152">AF224*AL224</f>
        <v>233534.79038882157</v>
      </c>
      <c r="AN224" s="226"/>
      <c r="AO224" s="227">
        <v>2.3339587242026001</v>
      </c>
      <c r="AP224" s="225"/>
      <c r="AQ224" s="226">
        <f t="shared" ref="AQ224:AQ253" si="153">AF224*AO224</f>
        <v>2840.7380507573503</v>
      </c>
      <c r="AR224" s="226">
        <f t="shared" ref="AR224:AR253" si="154">AQ224/$AQ$11</f>
        <v>3.022515859837207E-3</v>
      </c>
      <c r="AS224" s="228">
        <f>AR224*'DADOS BASE'!W$38</f>
        <v>906678.49291680765</v>
      </c>
      <c r="AT224" s="225"/>
      <c r="AU224" s="227">
        <v>0</v>
      </c>
      <c r="AV224" s="227">
        <v>0</v>
      </c>
      <c r="AW224" s="226">
        <f t="shared" ref="AW224:AW253" si="155">AU224/4</f>
        <v>0</v>
      </c>
      <c r="AX224" s="226">
        <f>IF($AW$11&gt;0,(AW224/$AW$11)*'DADOS BASE'!W$40,0)</f>
        <v>0</v>
      </c>
      <c r="AY224" s="226">
        <f t="shared" ref="AY224:AY253" si="156">AO224*AW224</f>
        <v>0</v>
      </c>
      <c r="AZ224" s="226">
        <f t="shared" ref="AZ224:AZ253" si="157">IF($AY$11&gt;0,AY224/$AY$11,0)</f>
        <v>0</v>
      </c>
      <c r="BA224" s="226">
        <f>AZ224*'DADOS BASE'!W$41</f>
        <v>0</v>
      </c>
      <c r="BB224" s="225"/>
      <c r="BC224" s="227">
        <v>0</v>
      </c>
      <c r="BD224" s="226">
        <f>IF($BC$11&gt;0,(BC224/$BC$11)*'DADOS BASE'!W$39,0)</f>
        <v>0</v>
      </c>
      <c r="BE224" s="187"/>
    </row>
    <row r="225" spans="2:57" x14ac:dyDescent="0.3">
      <c r="B225" s="184" t="s">
        <v>351</v>
      </c>
      <c r="C225" s="184" t="s">
        <v>354</v>
      </c>
      <c r="D225" s="184" t="s">
        <v>94</v>
      </c>
      <c r="E225" s="184">
        <v>2010</v>
      </c>
      <c r="F225" s="185"/>
      <c r="H225" s="186">
        <f ca="1">IF(AND(E225&gt;=2018,SUMIF('DADOS BASE'!$C$101:$D$104,D225,'DADOS BASE'!$H$101:$H$104)&gt;J225),
SUMIF('DADOS BASE'!$C$101:$D$104,D225,'DADOS BASE'!$H$101:$H$104),
J225)</f>
        <v>865878.79426032689</v>
      </c>
      <c r="J225" s="186">
        <f t="shared" si="146"/>
        <v>865878.79426032689</v>
      </c>
      <c r="K225" s="186"/>
      <c r="L225" s="188">
        <v>879.30031936675005</v>
      </c>
      <c r="M225" s="186">
        <f t="shared" si="147"/>
        <v>6.8598935905624624E-4</v>
      </c>
      <c r="N225" s="186">
        <f>L225*'DADOS BASE'!$I$29</f>
        <v>865878.79426032689</v>
      </c>
      <c r="O225" s="187"/>
      <c r="P225" s="188">
        <v>0</v>
      </c>
      <c r="Q225" s="186">
        <f>P225*'DADOS BASE'!$I$33</f>
        <v>0</v>
      </c>
      <c r="R225" s="186"/>
      <c r="S225" s="188">
        <v>0</v>
      </c>
      <c r="T225" s="186">
        <f>S225*'DADOS BASE'!$I$37</f>
        <v>0</v>
      </c>
      <c r="U225" s="186"/>
      <c r="V225" s="186">
        <f t="shared" si="148"/>
        <v>0</v>
      </c>
      <c r="W225" s="187"/>
      <c r="X225" s="186"/>
      <c r="Y225" s="186"/>
      <c r="Z225" s="185"/>
      <c r="AA225" s="186"/>
      <c r="AB225" s="186"/>
      <c r="AC225" s="186"/>
      <c r="AD225" s="186"/>
      <c r="AE225" s="188">
        <v>689</v>
      </c>
      <c r="AF225" s="188">
        <v>459.50420149271997</v>
      </c>
      <c r="AG225" s="186" t="s">
        <v>155</v>
      </c>
      <c r="AH225" s="189">
        <v>0.57299999999999995</v>
      </c>
      <c r="AI225" s="183">
        <f t="shared" si="149"/>
        <v>263.29590745532852</v>
      </c>
      <c r="AJ225" s="186">
        <f t="shared" si="150"/>
        <v>-0.20141096283846449</v>
      </c>
      <c r="AK225" s="186"/>
      <c r="AL225" s="186">
        <f t="shared" si="151"/>
        <v>215.86516581003849</v>
      </c>
      <c r="AM225" s="187">
        <f t="shared" si="152"/>
        <v>99190.950645635327</v>
      </c>
      <c r="AN225" s="186"/>
      <c r="AO225" s="188">
        <v>2.2063882063881999</v>
      </c>
      <c r="AQ225" s="186">
        <f t="shared" si="153"/>
        <v>1013.8446509593645</v>
      </c>
      <c r="AR225" s="186">
        <f t="shared" si="154"/>
        <v>1.0787202065740723E-3</v>
      </c>
      <c r="AS225" s="187">
        <f>AR225*'DADOS BASE'!W$38</f>
        <v>323588.84337770368</v>
      </c>
      <c r="AU225" s="188">
        <v>0</v>
      </c>
      <c r="AV225" s="188">
        <v>0</v>
      </c>
      <c r="AW225" s="186">
        <f t="shared" si="155"/>
        <v>0</v>
      </c>
      <c r="AX225" s="186">
        <f>IF($AW$11&gt;0,(AW225/$AW$11)*'DADOS BASE'!W$40,0)</f>
        <v>0</v>
      </c>
      <c r="AY225" s="186">
        <f t="shared" si="156"/>
        <v>0</v>
      </c>
      <c r="AZ225" s="186">
        <f t="shared" si="157"/>
        <v>0</v>
      </c>
      <c r="BA225" s="186">
        <f>AZ225*'DADOS BASE'!W$41</f>
        <v>0</v>
      </c>
      <c r="BC225" s="188">
        <v>0</v>
      </c>
      <c r="BD225" s="186">
        <f>IF($BC$11&gt;0,(BC225/$BC$11)*'DADOS BASE'!W$39,0)</f>
        <v>0</v>
      </c>
      <c r="BE225" s="187"/>
    </row>
    <row r="226" spans="2:57" x14ac:dyDescent="0.3">
      <c r="B226" s="223" t="s">
        <v>351</v>
      </c>
      <c r="C226" s="223" t="s">
        <v>355</v>
      </c>
      <c r="D226" s="223" t="s">
        <v>94</v>
      </c>
      <c r="E226" s="223">
        <v>2015</v>
      </c>
      <c r="F226" s="224"/>
      <c r="G226" s="225"/>
      <c r="H226" s="226">
        <f ca="1">IF(AND(E226&gt;=2018,SUMIF('DADOS BASE'!$C$101:$D$104,D226,'DADOS BASE'!$H$101:$H$104)&gt;J226),
SUMIF('DADOS BASE'!$C$101:$D$104,D226,'DADOS BASE'!$H$101:$H$104),
J226)</f>
        <v>412608.89641775109</v>
      </c>
      <c r="I226" s="225"/>
      <c r="J226" s="226">
        <f t="shared" si="146"/>
        <v>412608.89641775109</v>
      </c>
      <c r="K226" s="226"/>
      <c r="L226" s="227">
        <v>419.00452672896</v>
      </c>
      <c r="M226" s="226">
        <f t="shared" si="147"/>
        <v>3.2688791349406863E-4</v>
      </c>
      <c r="N226" s="226">
        <f>L226*'DADOS BASE'!$I$29</f>
        <v>412608.89641775109</v>
      </c>
      <c r="O226" s="228"/>
      <c r="P226" s="227">
        <v>0</v>
      </c>
      <c r="Q226" s="226">
        <f>P226*'DADOS BASE'!$I$33</f>
        <v>0</v>
      </c>
      <c r="R226" s="226"/>
      <c r="S226" s="227">
        <v>0</v>
      </c>
      <c r="T226" s="226">
        <f>S226*'DADOS BASE'!$I$37</f>
        <v>0</v>
      </c>
      <c r="U226" s="226"/>
      <c r="V226" s="226">
        <f t="shared" si="148"/>
        <v>0</v>
      </c>
      <c r="W226" s="228"/>
      <c r="X226" s="226"/>
      <c r="Y226" s="226"/>
      <c r="Z226" s="224"/>
      <c r="AA226" s="226"/>
      <c r="AB226" s="226"/>
      <c r="AC226" s="226"/>
      <c r="AD226" s="226"/>
      <c r="AE226" s="227">
        <v>390</v>
      </c>
      <c r="AF226" s="227">
        <v>281.49605914443998</v>
      </c>
      <c r="AG226" s="226" t="s">
        <v>155</v>
      </c>
      <c r="AH226" s="229">
        <v>0.52100000000000002</v>
      </c>
      <c r="AI226" s="225">
        <f t="shared" si="149"/>
        <v>146.65944681425324</v>
      </c>
      <c r="AJ226" s="226">
        <f t="shared" si="150"/>
        <v>-0.271548254118614</v>
      </c>
      <c r="AK226" s="226"/>
      <c r="AL226" s="226">
        <f t="shared" si="151"/>
        <v>228.46718000831586</v>
      </c>
      <c r="AM226" s="228">
        <f t="shared" si="152"/>
        <v>64312.6108161843</v>
      </c>
      <c r="AN226" s="226"/>
      <c r="AO226" s="227">
        <v>2.2738095238095002</v>
      </c>
      <c r="AP226" s="225"/>
      <c r="AQ226" s="226">
        <f t="shared" si="153"/>
        <v>640.06842019747</v>
      </c>
      <c r="AR226" s="226">
        <f t="shared" si="154"/>
        <v>6.8102616885496478E-4</v>
      </c>
      <c r="AS226" s="228">
        <f>AR226*'DADOS BASE'!W$38</f>
        <v>204290.6667982162</v>
      </c>
      <c r="AT226" s="225"/>
      <c r="AU226" s="227">
        <v>0</v>
      </c>
      <c r="AV226" s="227">
        <v>0</v>
      </c>
      <c r="AW226" s="226">
        <f t="shared" si="155"/>
        <v>0</v>
      </c>
      <c r="AX226" s="226">
        <f>IF($AW$11&gt;0,(AW226/$AW$11)*'DADOS BASE'!W$40,0)</f>
        <v>0</v>
      </c>
      <c r="AY226" s="226">
        <f t="shared" si="156"/>
        <v>0</v>
      </c>
      <c r="AZ226" s="226">
        <f t="shared" si="157"/>
        <v>0</v>
      </c>
      <c r="BA226" s="226">
        <f>AZ226*'DADOS BASE'!W$41</f>
        <v>0</v>
      </c>
      <c r="BB226" s="225"/>
      <c r="BC226" s="227">
        <v>0</v>
      </c>
      <c r="BD226" s="226">
        <f>IF($BC$11&gt;0,(BC226/$BC$11)*'DADOS BASE'!W$39,0)</f>
        <v>0</v>
      </c>
      <c r="BE226" s="187"/>
    </row>
    <row r="227" spans="2:57" x14ac:dyDescent="0.3">
      <c r="B227" s="184" t="s">
        <v>351</v>
      </c>
      <c r="C227" s="184" t="s">
        <v>356</v>
      </c>
      <c r="D227" s="184" t="s">
        <v>98</v>
      </c>
      <c r="E227" s="184">
        <v>2015</v>
      </c>
      <c r="F227" s="185"/>
      <c r="H227" s="186">
        <f ca="1">IF(AND(E227&gt;=2018,SUMIF('DADOS BASE'!$C$101:$D$104,D227,'DADOS BASE'!$H$101:$H$104)&gt;J227),
SUMIF('DADOS BASE'!$C$101:$D$104,D227,'DADOS BASE'!$H$101:$H$104),
J227)</f>
        <v>173763.58004064683</v>
      </c>
      <c r="J227" s="186">
        <f t="shared" si="146"/>
        <v>173763.58004064683</v>
      </c>
      <c r="K227" s="186"/>
      <c r="L227" s="188">
        <v>176.45699656447999</v>
      </c>
      <c r="M227" s="186">
        <f t="shared" si="147"/>
        <v>1.3766357103274263E-4</v>
      </c>
      <c r="N227" s="186">
        <f>L227*'DADOS BASE'!$I$29</f>
        <v>173763.58004064683</v>
      </c>
      <c r="O227" s="187"/>
      <c r="P227" s="188">
        <v>0</v>
      </c>
      <c r="Q227" s="186">
        <f>P227*'DADOS BASE'!$I$33</f>
        <v>0</v>
      </c>
      <c r="R227" s="186"/>
      <c r="S227" s="188">
        <v>0</v>
      </c>
      <c r="T227" s="186">
        <f>S227*'DADOS BASE'!$I$37</f>
        <v>0</v>
      </c>
      <c r="U227" s="186"/>
      <c r="V227" s="186">
        <f t="shared" si="148"/>
        <v>0</v>
      </c>
      <c r="W227" s="187"/>
      <c r="X227" s="186"/>
      <c r="Y227" s="186"/>
      <c r="Z227" s="185"/>
      <c r="AA227" s="186"/>
      <c r="AB227" s="186"/>
      <c r="AC227" s="186"/>
      <c r="AD227" s="186"/>
      <c r="AE227" s="188">
        <v>576</v>
      </c>
      <c r="AF227" s="188">
        <v>158.95667432885</v>
      </c>
      <c r="AG227" s="186" t="s">
        <v>155</v>
      </c>
      <c r="AH227" s="189">
        <v>0.63400000000000001</v>
      </c>
      <c r="AI227" s="183">
        <f t="shared" si="149"/>
        <v>100.7785315244909</v>
      </c>
      <c r="AJ227" s="186">
        <f t="shared" si="150"/>
        <v>-0.11913452499059661</v>
      </c>
      <c r="AK227" s="186"/>
      <c r="AL227" s="186">
        <f t="shared" si="151"/>
        <v>201.08203376975149</v>
      </c>
      <c r="AM227" s="187">
        <f t="shared" si="152"/>
        <v>31963.331355321207</v>
      </c>
      <c r="AN227" s="186"/>
      <c r="AO227" s="188">
        <v>1.8523676880222999</v>
      </c>
      <c r="AQ227" s="186">
        <f t="shared" si="153"/>
        <v>294.44620732224553</v>
      </c>
      <c r="AR227" s="186">
        <f t="shared" si="154"/>
        <v>3.1328771453007886E-4</v>
      </c>
      <c r="AS227" s="187">
        <f>AR227*'DADOS BASE'!W$38</f>
        <v>93978.409388654793</v>
      </c>
      <c r="AU227" s="188">
        <v>0</v>
      </c>
      <c r="AV227" s="188">
        <v>0</v>
      </c>
      <c r="AW227" s="186">
        <f t="shared" si="155"/>
        <v>0</v>
      </c>
      <c r="AX227" s="186">
        <f>IF($AW$11&gt;0,(AW227/$AW$11)*'DADOS BASE'!W$40,0)</f>
        <v>0</v>
      </c>
      <c r="AY227" s="186">
        <f t="shared" si="156"/>
        <v>0</v>
      </c>
      <c r="AZ227" s="186">
        <f t="shared" si="157"/>
        <v>0</v>
      </c>
      <c r="BA227" s="186">
        <f>AZ227*'DADOS BASE'!W$41</f>
        <v>0</v>
      </c>
      <c r="BC227" s="188">
        <v>0</v>
      </c>
      <c r="BD227" s="186">
        <f>IF($BC$11&gt;0,(BC227/$BC$11)*'DADOS BASE'!W$39,0)</f>
        <v>0</v>
      </c>
      <c r="BE227" s="187"/>
    </row>
    <row r="228" spans="2:57" x14ac:dyDescent="0.3">
      <c r="B228" s="223" t="s">
        <v>351</v>
      </c>
      <c r="C228" s="223" t="s">
        <v>357</v>
      </c>
      <c r="D228" s="223" t="s">
        <v>98</v>
      </c>
      <c r="E228" s="223">
        <v>2015</v>
      </c>
      <c r="F228" s="224"/>
      <c r="G228" s="225"/>
      <c r="H228" s="226">
        <f ca="1">IF(AND(E228&gt;=2018,SUMIF('DADOS BASE'!$C$101:$D$104,D228,'DADOS BASE'!$H$101:$H$104)&gt;J228),
SUMIF('DADOS BASE'!$C$101:$D$104,D228,'DADOS BASE'!$H$101:$H$104),
J228)</f>
        <v>309653.22262837028</v>
      </c>
      <c r="I228" s="225"/>
      <c r="J228" s="226">
        <f t="shared" si="146"/>
        <v>309653.22262837028</v>
      </c>
      <c r="K228" s="226"/>
      <c r="L228" s="227">
        <v>314.45299198331998</v>
      </c>
      <c r="M228" s="226">
        <f t="shared" si="147"/>
        <v>2.4532165140040725E-4</v>
      </c>
      <c r="N228" s="226">
        <f>L228*'DADOS BASE'!$I$29</f>
        <v>309653.22262837028</v>
      </c>
      <c r="O228" s="228"/>
      <c r="P228" s="227">
        <v>0</v>
      </c>
      <c r="Q228" s="226">
        <f>P228*'DADOS BASE'!$I$33</f>
        <v>0</v>
      </c>
      <c r="R228" s="226"/>
      <c r="S228" s="227">
        <v>0</v>
      </c>
      <c r="T228" s="226">
        <f>S228*'DADOS BASE'!$I$37</f>
        <v>0</v>
      </c>
      <c r="U228" s="226"/>
      <c r="V228" s="226">
        <f t="shared" si="148"/>
        <v>0</v>
      </c>
      <c r="W228" s="228"/>
      <c r="X228" s="226"/>
      <c r="Y228" s="226"/>
      <c r="Z228" s="224"/>
      <c r="AA228" s="226"/>
      <c r="AB228" s="226"/>
      <c r="AC228" s="226"/>
      <c r="AD228" s="226"/>
      <c r="AE228" s="227">
        <v>227</v>
      </c>
      <c r="AF228" s="227">
        <v>209.63532798887999</v>
      </c>
      <c r="AG228" s="226" t="s">
        <v>155</v>
      </c>
      <c r="AH228" s="229">
        <v>0.68400000000000005</v>
      </c>
      <c r="AI228" s="225">
        <f t="shared" si="149"/>
        <v>143.39056434439394</v>
      </c>
      <c r="AJ228" s="226">
        <f t="shared" si="150"/>
        <v>-5.1694821836606543E-2</v>
      </c>
      <c r="AK228" s="226"/>
      <c r="AL228" s="226">
        <f t="shared" si="151"/>
        <v>188.96471242525399</v>
      </c>
      <c r="AM228" s="228">
        <f t="shared" si="152"/>
        <v>39613.679467592505</v>
      </c>
      <c r="AN228" s="226"/>
      <c r="AO228" s="227">
        <v>2.3571428571428998</v>
      </c>
      <c r="AP228" s="225"/>
      <c r="AQ228" s="226">
        <f t="shared" si="153"/>
        <v>494.14041597379753</v>
      </c>
      <c r="AR228" s="226">
        <f t="shared" si="154"/>
        <v>5.2576028397591007E-4</v>
      </c>
      <c r="AS228" s="228">
        <f>AR228*'DADOS BASE'!W$38</f>
        <v>157714.81905026821</v>
      </c>
      <c r="AT228" s="225"/>
      <c r="AU228" s="227">
        <v>0</v>
      </c>
      <c r="AV228" s="227">
        <v>0</v>
      </c>
      <c r="AW228" s="226">
        <f t="shared" si="155"/>
        <v>0</v>
      </c>
      <c r="AX228" s="226">
        <f>IF($AW$11&gt;0,(AW228/$AW$11)*'DADOS BASE'!W$40,0)</f>
        <v>0</v>
      </c>
      <c r="AY228" s="226">
        <f t="shared" si="156"/>
        <v>0</v>
      </c>
      <c r="AZ228" s="226">
        <f t="shared" si="157"/>
        <v>0</v>
      </c>
      <c r="BA228" s="226">
        <f>AZ228*'DADOS BASE'!W$41</f>
        <v>0</v>
      </c>
      <c r="BB228" s="225"/>
      <c r="BC228" s="227">
        <v>0</v>
      </c>
      <c r="BD228" s="226">
        <f>IF($BC$11&gt;0,(BC228/$BC$11)*'DADOS BASE'!W$39,0)</f>
        <v>0</v>
      </c>
      <c r="BE228" s="187"/>
    </row>
    <row r="229" spans="2:57" x14ac:dyDescent="0.3">
      <c r="B229" s="184" t="s">
        <v>351</v>
      </c>
      <c r="C229" s="184" t="s">
        <v>358</v>
      </c>
      <c r="D229" s="184" t="s">
        <v>98</v>
      </c>
      <c r="E229" s="184">
        <v>2015</v>
      </c>
      <c r="F229" s="185"/>
      <c r="H229" s="186">
        <f ca="1">IF(AND(E229&gt;=2018,SUMIF('DADOS BASE'!$C$101:$D$104,D229,'DADOS BASE'!$H$101:$H$104)&gt;J229),
SUMIF('DADOS BASE'!$C$101:$D$104,D229,'DADOS BASE'!$H$101:$H$104),
J229)</f>
        <v>529051.18198954442</v>
      </c>
      <c r="J229" s="186">
        <f t="shared" si="146"/>
        <v>529051.18198954442</v>
      </c>
      <c r="K229" s="186"/>
      <c r="L229" s="188">
        <v>536.21167746991</v>
      </c>
      <c r="M229" s="186">
        <f t="shared" si="147"/>
        <v>4.1832750067799827E-4</v>
      </c>
      <c r="N229" s="186">
        <f>L229*'DADOS BASE'!$I$29</f>
        <v>528027.01253460941</v>
      </c>
      <c r="O229" s="187"/>
      <c r="P229" s="188">
        <v>4.1601782363976998</v>
      </c>
      <c r="Q229" s="186">
        <f>P229*'DADOS BASE'!$I$33</f>
        <v>1024.1694549350086</v>
      </c>
      <c r="R229" s="186"/>
      <c r="S229" s="188">
        <v>0</v>
      </c>
      <c r="T229" s="186">
        <f>S229*'DADOS BASE'!$I$37</f>
        <v>0</v>
      </c>
      <c r="U229" s="186"/>
      <c r="V229" s="186">
        <f t="shared" si="148"/>
        <v>1024.1694549350086</v>
      </c>
      <c r="W229" s="187"/>
      <c r="X229" s="186"/>
      <c r="Y229" s="186"/>
      <c r="Z229" s="185"/>
      <c r="AA229" s="186"/>
      <c r="AB229" s="186"/>
      <c r="AC229" s="186"/>
      <c r="AD229" s="186"/>
      <c r="AE229" s="188">
        <v>522</v>
      </c>
      <c r="AF229" s="188">
        <v>359.44638157703997</v>
      </c>
      <c r="AG229" s="186" t="s">
        <v>155</v>
      </c>
      <c r="AH229" s="189">
        <v>0.63200000000000001</v>
      </c>
      <c r="AI229" s="183">
        <f t="shared" si="149"/>
        <v>227.17011315668927</v>
      </c>
      <c r="AJ229" s="186">
        <f t="shared" si="150"/>
        <v>-0.12183211311675621</v>
      </c>
      <c r="AK229" s="186"/>
      <c r="AL229" s="186">
        <f t="shared" si="151"/>
        <v>201.56672662353139</v>
      </c>
      <c r="AM229" s="187">
        <f t="shared" si="152"/>
        <v>72452.430531156773</v>
      </c>
      <c r="AN229" s="186"/>
      <c r="AO229" s="188">
        <v>1.8419689119171001</v>
      </c>
      <c r="AQ229" s="186">
        <f t="shared" si="153"/>
        <v>662.0890603659991</v>
      </c>
      <c r="AR229" s="186">
        <f t="shared" si="154"/>
        <v>7.0445590189050563E-4</v>
      </c>
      <c r="AS229" s="187">
        <f>AR229*'DADOS BASE'!W$38</f>
        <v>211318.99552276806</v>
      </c>
      <c r="AU229" s="188">
        <v>0</v>
      </c>
      <c r="AV229" s="188">
        <v>6.75</v>
      </c>
      <c r="AW229" s="186">
        <f t="shared" si="155"/>
        <v>0</v>
      </c>
      <c r="AX229" s="186">
        <f>IF($AW$11&gt;0,(AW229/$AW$11)*'DADOS BASE'!W$40,0)</f>
        <v>0</v>
      </c>
      <c r="AY229" s="186">
        <f t="shared" si="156"/>
        <v>0</v>
      </c>
      <c r="AZ229" s="186">
        <f t="shared" si="157"/>
        <v>0</v>
      </c>
      <c r="BA229" s="186">
        <f>AZ229*'DADOS BASE'!W$41</f>
        <v>0</v>
      </c>
      <c r="BC229" s="188">
        <v>0</v>
      </c>
      <c r="BD229" s="186">
        <f>IF($BC$11&gt;0,(BC229/$BC$11)*'DADOS BASE'!W$39,0)</f>
        <v>0</v>
      </c>
      <c r="BE229" s="187"/>
    </row>
    <row r="230" spans="2:57" x14ac:dyDescent="0.3">
      <c r="B230" s="223" t="s">
        <v>351</v>
      </c>
      <c r="C230" s="223" t="s">
        <v>359</v>
      </c>
      <c r="D230" s="223" t="s">
        <v>94</v>
      </c>
      <c r="E230" s="223">
        <v>2010</v>
      </c>
      <c r="F230" s="224"/>
      <c r="G230" s="225"/>
      <c r="H230" s="226">
        <f ca="1">IF(AND(E230&gt;=2018,SUMIF('DADOS BASE'!$C$101:$D$104,D230,'DADOS BASE'!$H$101:$H$104)&gt;J230),
SUMIF('DADOS BASE'!$C$101:$D$104,D230,'DADOS BASE'!$H$101:$H$104),
J230)</f>
        <v>1543253.4235030788</v>
      </c>
      <c r="I230" s="225"/>
      <c r="J230" s="226">
        <f t="shared" si="146"/>
        <v>1543253.4235030788</v>
      </c>
      <c r="K230" s="226"/>
      <c r="L230" s="227">
        <v>1567.1745712508</v>
      </c>
      <c r="M230" s="226">
        <f t="shared" si="147"/>
        <v>1.2226369716729078E-3</v>
      </c>
      <c r="N230" s="226">
        <f>L230*'DADOS BASE'!$I$29</f>
        <v>1543253.4235030788</v>
      </c>
      <c r="O230" s="228"/>
      <c r="P230" s="227">
        <v>0</v>
      </c>
      <c r="Q230" s="226">
        <f>P230*'DADOS BASE'!$I$33</f>
        <v>0</v>
      </c>
      <c r="R230" s="226"/>
      <c r="S230" s="227">
        <v>0</v>
      </c>
      <c r="T230" s="226">
        <f>S230*'DADOS BASE'!$I$37</f>
        <v>0</v>
      </c>
      <c r="U230" s="226"/>
      <c r="V230" s="226">
        <f t="shared" si="148"/>
        <v>0</v>
      </c>
      <c r="W230" s="228"/>
      <c r="X230" s="226"/>
      <c r="Y230" s="226"/>
      <c r="Z230" s="224"/>
      <c r="AA230" s="226"/>
      <c r="AB230" s="226"/>
      <c r="AC230" s="226"/>
      <c r="AD230" s="226"/>
      <c r="AE230" s="227">
        <v>1028</v>
      </c>
      <c r="AF230" s="227">
        <v>825.15554021093999</v>
      </c>
      <c r="AG230" s="226" t="s">
        <v>155</v>
      </c>
      <c r="AH230" s="229">
        <v>0.65100000000000002</v>
      </c>
      <c r="AI230" s="225">
        <f t="shared" si="149"/>
        <v>537.17625667732193</v>
      </c>
      <c r="AJ230" s="226">
        <f t="shared" si="150"/>
        <v>-9.6205025918239984E-2</v>
      </c>
      <c r="AK230" s="226"/>
      <c r="AL230" s="226">
        <f t="shared" si="151"/>
        <v>196.96214451262236</v>
      </c>
      <c r="AM230" s="228">
        <f t="shared" si="152"/>
        <v>162524.40475641814</v>
      </c>
      <c r="AN230" s="226"/>
      <c r="AO230" s="227">
        <v>1.9674721189591</v>
      </c>
      <c r="AP230" s="225"/>
      <c r="AQ230" s="226">
        <f t="shared" si="153"/>
        <v>1623.4705191696589</v>
      </c>
      <c r="AR230" s="226">
        <f t="shared" si="154"/>
        <v>1.7273558154579671E-3</v>
      </c>
      <c r="AS230" s="228">
        <f>AR230*'DADOS BASE'!W$38</f>
        <v>518163.15947300481</v>
      </c>
      <c r="AT230" s="225"/>
      <c r="AU230" s="227">
        <v>0</v>
      </c>
      <c r="AV230" s="227">
        <v>0</v>
      </c>
      <c r="AW230" s="226">
        <f t="shared" si="155"/>
        <v>0</v>
      </c>
      <c r="AX230" s="226">
        <f>IF($AW$11&gt;0,(AW230/$AW$11)*'DADOS BASE'!W$40,0)</f>
        <v>0</v>
      </c>
      <c r="AY230" s="226">
        <f t="shared" si="156"/>
        <v>0</v>
      </c>
      <c r="AZ230" s="226">
        <f t="shared" si="157"/>
        <v>0</v>
      </c>
      <c r="BA230" s="226">
        <f>AZ230*'DADOS BASE'!W$41</f>
        <v>0</v>
      </c>
      <c r="BB230" s="225"/>
      <c r="BC230" s="227">
        <v>0</v>
      </c>
      <c r="BD230" s="226">
        <f>IF($BC$11&gt;0,(BC230/$BC$11)*'DADOS BASE'!W$39,0)</f>
        <v>0</v>
      </c>
      <c r="BE230" s="187"/>
    </row>
    <row r="231" spans="2:57" x14ac:dyDescent="0.3">
      <c r="B231" s="184" t="s">
        <v>351</v>
      </c>
      <c r="C231" s="184" t="s">
        <v>360</v>
      </c>
      <c r="D231" s="184" t="s">
        <v>94</v>
      </c>
      <c r="E231" s="184">
        <v>2010</v>
      </c>
      <c r="F231" s="185"/>
      <c r="H231" s="186">
        <f ca="1">IF(AND(E231&gt;=2018,SUMIF('DADOS BASE'!$C$101:$D$104,D231,'DADOS BASE'!$H$101:$H$104)&gt;J231),
SUMIF('DADOS BASE'!$C$101:$D$104,D231,'DADOS BASE'!$H$101:$H$104),
J231)</f>
        <v>1926909.5018922195</v>
      </c>
      <c r="J231" s="186">
        <f t="shared" si="146"/>
        <v>1926909.5018922195</v>
      </c>
      <c r="K231" s="186"/>
      <c r="L231" s="188">
        <v>1956.7774977698</v>
      </c>
      <c r="M231" s="186">
        <f t="shared" si="147"/>
        <v>1.5265871192648966E-3</v>
      </c>
      <c r="N231" s="186">
        <f>L231*'DADOS BASE'!$I$29</f>
        <v>1926909.5018922195</v>
      </c>
      <c r="O231" s="187"/>
      <c r="P231" s="188">
        <v>0</v>
      </c>
      <c r="Q231" s="186">
        <f>P231*'DADOS BASE'!$I$33</f>
        <v>0</v>
      </c>
      <c r="R231" s="186"/>
      <c r="S231" s="188">
        <v>0</v>
      </c>
      <c r="T231" s="186">
        <f>S231*'DADOS BASE'!$I$37</f>
        <v>0</v>
      </c>
      <c r="U231" s="186"/>
      <c r="V231" s="186">
        <f t="shared" si="148"/>
        <v>0</v>
      </c>
      <c r="W231" s="187"/>
      <c r="X231" s="186"/>
      <c r="Y231" s="186"/>
      <c r="Z231" s="185"/>
      <c r="AA231" s="186"/>
      <c r="AB231" s="186"/>
      <c r="AC231" s="186"/>
      <c r="AD231" s="186"/>
      <c r="AE231" s="188">
        <v>1272</v>
      </c>
      <c r="AF231" s="188">
        <v>1032.6823470524</v>
      </c>
      <c r="AG231" s="186" t="s">
        <v>155</v>
      </c>
      <c r="AH231" s="189">
        <v>0.60599999999999998</v>
      </c>
      <c r="AI231" s="183">
        <f t="shared" si="149"/>
        <v>625.80550231375435</v>
      </c>
      <c r="AJ231" s="186">
        <f t="shared" si="150"/>
        <v>-0.15690075875683104</v>
      </c>
      <c r="AK231" s="186"/>
      <c r="AL231" s="186">
        <f t="shared" si="151"/>
        <v>207.86773372267012</v>
      </c>
      <c r="AM231" s="187">
        <f t="shared" si="152"/>
        <v>214661.33913719031</v>
      </c>
      <c r="AN231" s="186"/>
      <c r="AO231" s="188">
        <v>2.2116493656285998</v>
      </c>
      <c r="AQ231" s="186">
        <f t="shared" si="153"/>
        <v>2283.9312577542942</v>
      </c>
      <c r="AR231" s="186">
        <f t="shared" si="154"/>
        <v>2.4300791998402927E-3</v>
      </c>
      <c r="AS231" s="187">
        <f>AR231*'DADOS BASE'!W$38</f>
        <v>728962.44345872465</v>
      </c>
      <c r="AU231" s="188">
        <v>0</v>
      </c>
      <c r="AV231" s="188">
        <v>0</v>
      </c>
      <c r="AW231" s="186">
        <f t="shared" si="155"/>
        <v>0</v>
      </c>
      <c r="AX231" s="186">
        <f>IF($AW$11&gt;0,(AW231/$AW$11)*'DADOS BASE'!W$40,0)</f>
        <v>0</v>
      </c>
      <c r="AY231" s="186">
        <f t="shared" si="156"/>
        <v>0</v>
      </c>
      <c r="AZ231" s="186">
        <f t="shared" si="157"/>
        <v>0</v>
      </c>
      <c r="BA231" s="186">
        <f>AZ231*'DADOS BASE'!W$41</f>
        <v>0</v>
      </c>
      <c r="BC231" s="188">
        <v>0</v>
      </c>
      <c r="BD231" s="186">
        <f>IF($BC$11&gt;0,(BC231/$BC$11)*'DADOS BASE'!W$39,0)</f>
        <v>0</v>
      </c>
      <c r="BE231" s="187"/>
    </row>
    <row r="232" spans="2:57" x14ac:dyDescent="0.3">
      <c r="B232" s="223" t="s">
        <v>351</v>
      </c>
      <c r="C232" s="223" t="s">
        <v>361</v>
      </c>
      <c r="D232" s="223" t="s">
        <v>94</v>
      </c>
      <c r="E232" s="223">
        <v>2010</v>
      </c>
      <c r="F232" s="224"/>
      <c r="G232" s="225"/>
      <c r="H232" s="226">
        <f ca="1">IF(AND(E232&gt;=2018,SUMIF('DADOS BASE'!$C$101:$D$104,D232,'DADOS BASE'!$H$101:$H$104)&gt;J232),
SUMIF('DADOS BASE'!$C$101:$D$104,D232,'DADOS BASE'!$H$101:$H$104),
J232)</f>
        <v>1869607.7224105939</v>
      </c>
      <c r="I232" s="225"/>
      <c r="J232" s="226">
        <f t="shared" si="146"/>
        <v>1869607.7224105939</v>
      </c>
      <c r="K232" s="226"/>
      <c r="L232" s="227">
        <v>1898.587513984</v>
      </c>
      <c r="M232" s="226">
        <f t="shared" si="147"/>
        <v>1.4811899906598915E-3</v>
      </c>
      <c r="N232" s="226">
        <f>L232*'DADOS BASE'!$I$29</f>
        <v>1869607.7224105939</v>
      </c>
      <c r="O232" s="228"/>
      <c r="P232" s="227">
        <v>0</v>
      </c>
      <c r="Q232" s="226">
        <f>P232*'DADOS BASE'!$I$33</f>
        <v>0</v>
      </c>
      <c r="R232" s="226"/>
      <c r="S232" s="227">
        <v>0</v>
      </c>
      <c r="T232" s="226">
        <f>S232*'DADOS BASE'!$I$37</f>
        <v>0</v>
      </c>
      <c r="U232" s="226"/>
      <c r="V232" s="226">
        <f t="shared" si="148"/>
        <v>0</v>
      </c>
      <c r="W232" s="228"/>
      <c r="X232" s="226"/>
      <c r="Y232" s="226"/>
      <c r="Z232" s="224"/>
      <c r="AA232" s="226"/>
      <c r="AB232" s="226"/>
      <c r="AC232" s="226"/>
      <c r="AD232" s="226"/>
      <c r="AE232" s="227">
        <v>824</v>
      </c>
      <c r="AF232" s="227">
        <v>706.64590069730002</v>
      </c>
      <c r="AG232" s="226" t="s">
        <v>155</v>
      </c>
      <c r="AH232" s="229">
        <v>0.56999999999999995</v>
      </c>
      <c r="AI232" s="225">
        <f t="shared" si="149"/>
        <v>402.78816339746101</v>
      </c>
      <c r="AJ232" s="226">
        <f t="shared" si="150"/>
        <v>-0.20545734502770388</v>
      </c>
      <c r="AK232" s="226"/>
      <c r="AL232" s="226">
        <f t="shared" si="151"/>
        <v>216.59220509070832</v>
      </c>
      <c r="AM232" s="228">
        <f t="shared" si="152"/>
        <v>153053.99385033792</v>
      </c>
      <c r="AN232" s="226"/>
      <c r="AO232" s="227">
        <v>2.4073455759599001</v>
      </c>
      <c r="AP232" s="225"/>
      <c r="AQ232" s="226">
        <f t="shared" si="153"/>
        <v>1701.140882813844</v>
      </c>
      <c r="AR232" s="226">
        <f t="shared" si="154"/>
        <v>1.8099962778164323E-3</v>
      </c>
      <c r="AS232" s="228">
        <f>AR232*'DADOS BASE'!W$38</f>
        <v>542953.21297140303</v>
      </c>
      <c r="AT232" s="225"/>
      <c r="AU232" s="227">
        <v>0</v>
      </c>
      <c r="AV232" s="227">
        <v>0</v>
      </c>
      <c r="AW232" s="226">
        <f t="shared" si="155"/>
        <v>0</v>
      </c>
      <c r="AX232" s="226">
        <f>IF($AW$11&gt;0,(AW232/$AW$11)*'DADOS BASE'!W$40,0)</f>
        <v>0</v>
      </c>
      <c r="AY232" s="226">
        <f t="shared" si="156"/>
        <v>0</v>
      </c>
      <c r="AZ232" s="226">
        <f t="shared" si="157"/>
        <v>0</v>
      </c>
      <c r="BA232" s="226">
        <f>AZ232*'DADOS BASE'!W$41</f>
        <v>0</v>
      </c>
      <c r="BB232" s="225"/>
      <c r="BC232" s="227">
        <v>0</v>
      </c>
      <c r="BD232" s="226">
        <f>IF($BC$11&gt;0,(BC232/$BC$11)*'DADOS BASE'!W$39,0)</f>
        <v>0</v>
      </c>
      <c r="BE232" s="187"/>
    </row>
    <row r="233" spans="2:57" x14ac:dyDescent="0.3">
      <c r="B233" s="184" t="s">
        <v>351</v>
      </c>
      <c r="C233" s="184" t="s">
        <v>362</v>
      </c>
      <c r="D233" s="184" t="s">
        <v>94</v>
      </c>
      <c r="E233" s="184">
        <v>2010</v>
      </c>
      <c r="F233" s="185"/>
      <c r="H233" s="186">
        <f ca="1">IF(AND(E233&gt;=2018,SUMIF('DADOS BASE'!$C$101:$D$104,D233,'DADOS BASE'!$H$101:$H$104)&gt;J233),
SUMIF('DADOS BASE'!$C$101:$D$104,D233,'DADOS BASE'!$H$101:$H$104),
J233)</f>
        <v>2076028.1289960761</v>
      </c>
      <c r="J233" s="186">
        <f t="shared" si="146"/>
        <v>2076028.1289960761</v>
      </c>
      <c r="K233" s="186"/>
      <c r="L233" s="188">
        <v>2108.2075331340002</v>
      </c>
      <c r="M233" s="186">
        <f t="shared" si="147"/>
        <v>1.6447258150135387E-3</v>
      </c>
      <c r="N233" s="186">
        <f>L233*'DADOS BASE'!$I$29</f>
        <v>2076028.1289960761</v>
      </c>
      <c r="O233" s="187"/>
      <c r="P233" s="188">
        <v>0</v>
      </c>
      <c r="Q233" s="186">
        <f>P233*'DADOS BASE'!$I$33</f>
        <v>0</v>
      </c>
      <c r="R233" s="186"/>
      <c r="S233" s="188">
        <v>0</v>
      </c>
      <c r="T233" s="186">
        <f>S233*'DADOS BASE'!$I$37</f>
        <v>0</v>
      </c>
      <c r="U233" s="186"/>
      <c r="V233" s="186">
        <f t="shared" si="148"/>
        <v>0</v>
      </c>
      <c r="W233" s="187"/>
      <c r="X233" s="186"/>
      <c r="Y233" s="186"/>
      <c r="Z233" s="185"/>
      <c r="AA233" s="186"/>
      <c r="AB233" s="186"/>
      <c r="AC233" s="186"/>
      <c r="AD233" s="186"/>
      <c r="AE233" s="188">
        <v>1194</v>
      </c>
      <c r="AF233" s="188">
        <v>953.05907426561998</v>
      </c>
      <c r="AG233" s="186" t="s">
        <v>155</v>
      </c>
      <c r="AH233" s="189">
        <v>0.55600000000000005</v>
      </c>
      <c r="AI233" s="183">
        <f t="shared" si="149"/>
        <v>529.90084529168473</v>
      </c>
      <c r="AJ233" s="186">
        <f t="shared" si="150"/>
        <v>-0.22434046191082097</v>
      </c>
      <c r="AK233" s="186"/>
      <c r="AL233" s="186">
        <f t="shared" si="151"/>
        <v>219.98505506716759</v>
      </c>
      <c r="AM233" s="187">
        <f t="shared" si="152"/>
        <v>209658.75293458617</v>
      </c>
      <c r="AN233" s="186"/>
      <c r="AO233" s="188">
        <v>2.1558333333333</v>
      </c>
      <c r="AQ233" s="186">
        <f t="shared" si="153"/>
        <v>2054.6365209376008</v>
      </c>
      <c r="AR233" s="186">
        <f t="shared" si="154"/>
        <v>2.1861119750478182E-3</v>
      </c>
      <c r="AS233" s="187">
        <f>AR233*'DADOS BASE'!W$38</f>
        <v>655778.43187578768</v>
      </c>
      <c r="AU233" s="188">
        <v>0</v>
      </c>
      <c r="AV233" s="188">
        <v>0</v>
      </c>
      <c r="AW233" s="186">
        <f t="shared" si="155"/>
        <v>0</v>
      </c>
      <c r="AX233" s="186">
        <f>IF($AW$11&gt;0,(AW233/$AW$11)*'DADOS BASE'!W$40,0)</f>
        <v>0</v>
      </c>
      <c r="AY233" s="186">
        <f t="shared" si="156"/>
        <v>0</v>
      </c>
      <c r="AZ233" s="186">
        <f t="shared" si="157"/>
        <v>0</v>
      </c>
      <c r="BA233" s="186">
        <f>AZ233*'DADOS BASE'!W$41</f>
        <v>0</v>
      </c>
      <c r="BC233" s="188">
        <v>0</v>
      </c>
      <c r="BD233" s="186">
        <f>IF($BC$11&gt;0,(BC233/$BC$11)*'DADOS BASE'!W$39,0)</f>
        <v>0</v>
      </c>
      <c r="BE233" s="187"/>
    </row>
    <row r="234" spans="2:57" x14ac:dyDescent="0.3">
      <c r="B234" s="223" t="s">
        <v>351</v>
      </c>
      <c r="C234" s="223" t="s">
        <v>363</v>
      </c>
      <c r="D234" s="223" t="s">
        <v>92</v>
      </c>
      <c r="E234" s="223">
        <v>2010</v>
      </c>
      <c r="F234" s="224"/>
      <c r="G234" s="225"/>
      <c r="H234" s="226">
        <f ca="1">IF(AND(E234&gt;=2018,SUMIF('DADOS BASE'!$C$101:$D$104,D234,'DADOS BASE'!$H$101:$H$104)&gt;J234),
SUMIF('DADOS BASE'!$C$101:$D$104,D234,'DADOS BASE'!$H$101:$H$104),
J234)</f>
        <v>3587409.0406151703</v>
      </c>
      <c r="I234" s="225"/>
      <c r="J234" s="226">
        <f t="shared" si="146"/>
        <v>3587409.0406151703</v>
      </c>
      <c r="K234" s="226"/>
      <c r="L234" s="227">
        <v>3473.7564845724</v>
      </c>
      <c r="M234" s="226">
        <f t="shared" si="147"/>
        <v>2.7100638222051911E-3</v>
      </c>
      <c r="N234" s="226">
        <f>L234*'DADOS BASE'!$I$29</f>
        <v>3420733.5197850503</v>
      </c>
      <c r="O234" s="228"/>
      <c r="P234" s="227">
        <v>677.03627652293005</v>
      </c>
      <c r="Q234" s="226">
        <f>P234*'DADOS BASE'!$I$33</f>
        <v>166675.52083012008</v>
      </c>
      <c r="R234" s="226"/>
      <c r="S234" s="227">
        <v>0</v>
      </c>
      <c r="T234" s="226">
        <f>S234*'DADOS BASE'!$I$37</f>
        <v>0</v>
      </c>
      <c r="U234" s="226"/>
      <c r="V234" s="226">
        <f t="shared" si="148"/>
        <v>166675.52083012008</v>
      </c>
      <c r="W234" s="228"/>
      <c r="X234" s="226"/>
      <c r="Y234" s="226"/>
      <c r="Z234" s="224"/>
      <c r="AA234" s="226"/>
      <c r="AB234" s="226"/>
      <c r="AC234" s="226"/>
      <c r="AD234" s="226"/>
      <c r="AE234" s="227">
        <v>1626</v>
      </c>
      <c r="AF234" s="227">
        <v>1290.9013153927001</v>
      </c>
      <c r="AG234" s="226" t="s">
        <v>155</v>
      </c>
      <c r="AH234" s="229">
        <v>0.624</v>
      </c>
      <c r="AI234" s="225">
        <f t="shared" si="149"/>
        <v>805.52242080504482</v>
      </c>
      <c r="AJ234" s="226">
        <f t="shared" si="150"/>
        <v>-0.13262246562139463</v>
      </c>
      <c r="AK234" s="226"/>
      <c r="AL234" s="226">
        <f t="shared" si="151"/>
        <v>203.50549803865101</v>
      </c>
      <c r="AM234" s="228">
        <f t="shared" si="152"/>
        <v>262705.51510774111</v>
      </c>
      <c r="AN234" s="226"/>
      <c r="AO234" s="227">
        <v>2.2996688741722</v>
      </c>
      <c r="AP234" s="225"/>
      <c r="AQ234" s="226">
        <f t="shared" si="153"/>
        <v>2968.6455746365427</v>
      </c>
      <c r="AR234" s="226">
        <f t="shared" si="154"/>
        <v>3.1586081402973135E-3</v>
      </c>
      <c r="AS234" s="228">
        <f>AR234*'DADOS BASE'!W$38</f>
        <v>947502.74313325703</v>
      </c>
      <c r="AT234" s="225"/>
      <c r="AU234" s="227">
        <v>0</v>
      </c>
      <c r="AV234" s="227">
        <v>67.75</v>
      </c>
      <c r="AW234" s="226">
        <f t="shared" si="155"/>
        <v>0</v>
      </c>
      <c r="AX234" s="226">
        <f>IF($AW$11&gt;0,(AW234/$AW$11)*'DADOS BASE'!W$40,0)</f>
        <v>0</v>
      </c>
      <c r="AY234" s="226">
        <f t="shared" si="156"/>
        <v>0</v>
      </c>
      <c r="AZ234" s="226">
        <f t="shared" si="157"/>
        <v>0</v>
      </c>
      <c r="BA234" s="226">
        <f>AZ234*'DADOS BASE'!W$41</f>
        <v>0</v>
      </c>
      <c r="BB234" s="225"/>
      <c r="BC234" s="227">
        <v>107</v>
      </c>
      <c r="BD234" s="226">
        <f>IF($BC$11&gt;0,(BC234/$BC$11)*'DADOS BASE'!W$39,0)</f>
        <v>578142.82933899679</v>
      </c>
      <c r="BE234" s="187"/>
    </row>
    <row r="235" spans="2:57" x14ac:dyDescent="0.3">
      <c r="B235" s="184" t="s">
        <v>351</v>
      </c>
      <c r="C235" s="184" t="s">
        <v>364</v>
      </c>
      <c r="D235" s="184" t="s">
        <v>92</v>
      </c>
      <c r="E235" s="184">
        <v>2009</v>
      </c>
      <c r="F235" s="185"/>
      <c r="H235" s="186">
        <f ca="1">IF(AND(E235&gt;=2018,SUMIF('DADOS BASE'!$C$101:$D$104,D235,'DADOS BASE'!$H$101:$H$104)&gt;J235),
SUMIF('DADOS BASE'!$C$101:$D$104,D235,'DADOS BASE'!$H$101:$H$104),
J235)</f>
        <v>4343763.5122296838</v>
      </c>
      <c r="J235" s="186">
        <f t="shared" si="146"/>
        <v>4343763.5122296838</v>
      </c>
      <c r="K235" s="186"/>
      <c r="L235" s="188">
        <v>4411.0938723473</v>
      </c>
      <c r="M235" s="186">
        <f t="shared" si="147"/>
        <v>3.4413310123754788E-3</v>
      </c>
      <c r="N235" s="186">
        <f>L235*'DADOS BASE'!$I$29</f>
        <v>4343763.5122296838</v>
      </c>
      <c r="O235" s="187"/>
      <c r="P235" s="188">
        <v>0</v>
      </c>
      <c r="Q235" s="186">
        <f>P235*'DADOS BASE'!$I$33</f>
        <v>0</v>
      </c>
      <c r="R235" s="186"/>
      <c r="S235" s="188">
        <v>0</v>
      </c>
      <c r="T235" s="186">
        <f>S235*'DADOS BASE'!$I$37</f>
        <v>0</v>
      </c>
      <c r="U235" s="186"/>
      <c r="V235" s="186">
        <f t="shared" si="148"/>
        <v>0</v>
      </c>
      <c r="W235" s="187"/>
      <c r="X235" s="186"/>
      <c r="Y235" s="186"/>
      <c r="Z235" s="185"/>
      <c r="AA235" s="186"/>
      <c r="AB235" s="186"/>
      <c r="AC235" s="186"/>
      <c r="AD235" s="186"/>
      <c r="AE235" s="188">
        <v>1943</v>
      </c>
      <c r="AF235" s="188">
        <v>1562.8451298970001</v>
      </c>
      <c r="AG235" s="186" t="s">
        <v>155</v>
      </c>
      <c r="AH235" s="189">
        <v>0.59499999999999997</v>
      </c>
      <c r="AI235" s="183">
        <f t="shared" si="149"/>
        <v>929.89285228871506</v>
      </c>
      <c r="AJ235" s="186">
        <f t="shared" si="150"/>
        <v>-0.17173749345070885</v>
      </c>
      <c r="AK235" s="186"/>
      <c r="AL235" s="186">
        <f t="shared" si="151"/>
        <v>210.53354441845957</v>
      </c>
      <c r="AM235" s="187">
        <f t="shared" si="152"/>
        <v>329031.32457434328</v>
      </c>
      <c r="AN235" s="186"/>
      <c r="AO235" s="188">
        <v>2.3489974937342999</v>
      </c>
      <c r="AQ235" s="186">
        <f t="shared" si="153"/>
        <v>3671.1192932229096</v>
      </c>
      <c r="AR235" s="186">
        <f t="shared" si="154"/>
        <v>3.9060329002043562E-3</v>
      </c>
      <c r="AS235" s="187">
        <f>AR235*'DADOS BASE'!W$38</f>
        <v>1171711.3118577646</v>
      </c>
      <c r="AU235" s="188">
        <v>0</v>
      </c>
      <c r="AV235" s="188">
        <v>0</v>
      </c>
      <c r="AW235" s="186">
        <f t="shared" si="155"/>
        <v>0</v>
      </c>
      <c r="AX235" s="186">
        <f>IF($AW$11&gt;0,(AW235/$AW$11)*'DADOS BASE'!W$40,0)</f>
        <v>0</v>
      </c>
      <c r="AY235" s="186">
        <f t="shared" si="156"/>
        <v>0</v>
      </c>
      <c r="AZ235" s="186">
        <f t="shared" si="157"/>
        <v>0</v>
      </c>
      <c r="BA235" s="186">
        <f>AZ235*'DADOS BASE'!W$41</f>
        <v>0</v>
      </c>
      <c r="BC235" s="188">
        <v>40</v>
      </c>
      <c r="BD235" s="186">
        <f>IF($BC$11&gt;0,(BC235/$BC$11)*'DADOS BASE'!W$39,0)</f>
        <v>216128.16050055955</v>
      </c>
      <c r="BE235" s="187"/>
    </row>
    <row r="236" spans="2:57" x14ac:dyDescent="0.3">
      <c r="B236" s="223" t="s">
        <v>351</v>
      </c>
      <c r="C236" s="223" t="s">
        <v>365</v>
      </c>
      <c r="D236" s="223" t="s">
        <v>94</v>
      </c>
      <c r="E236" s="223">
        <v>2013</v>
      </c>
      <c r="F236" s="224"/>
      <c r="G236" s="225"/>
      <c r="H236" s="226">
        <f ca="1">IF(AND(E236&gt;=2018,SUMIF('DADOS BASE'!$C$101:$D$104,D236,'DADOS BASE'!$H$101:$H$104)&gt;J236),
SUMIF('DADOS BASE'!$C$101:$D$104,D236,'DADOS BASE'!$H$101:$H$104),
J236)</f>
        <v>932505.37155927194</v>
      </c>
      <c r="I236" s="225"/>
      <c r="J236" s="226">
        <f t="shared" si="146"/>
        <v>932505.37155927194</v>
      </c>
      <c r="K236" s="226"/>
      <c r="L236" s="227">
        <v>946.95963968458</v>
      </c>
      <c r="M236" s="226">
        <f t="shared" si="147"/>
        <v>7.3877402517855053E-4</v>
      </c>
      <c r="N236" s="226">
        <f>L236*'DADOS BASE'!$I$29</f>
        <v>932505.37155927194</v>
      </c>
      <c r="O236" s="228"/>
      <c r="P236" s="227">
        <v>0</v>
      </c>
      <c r="Q236" s="226">
        <f>P236*'DADOS BASE'!$I$33</f>
        <v>0</v>
      </c>
      <c r="R236" s="226"/>
      <c r="S236" s="227">
        <v>0</v>
      </c>
      <c r="T236" s="226">
        <f>S236*'DADOS BASE'!$I$37</f>
        <v>0</v>
      </c>
      <c r="U236" s="226"/>
      <c r="V236" s="226">
        <f t="shared" si="148"/>
        <v>0</v>
      </c>
      <c r="W236" s="228"/>
      <c r="X236" s="226"/>
      <c r="Y236" s="226"/>
      <c r="Z236" s="224"/>
      <c r="AA236" s="226"/>
      <c r="AB236" s="226"/>
      <c r="AC236" s="226"/>
      <c r="AD236" s="226"/>
      <c r="AE236" s="227">
        <v>689</v>
      </c>
      <c r="AF236" s="227">
        <v>602.59527560380002</v>
      </c>
      <c r="AG236" s="226" t="s">
        <v>155</v>
      </c>
      <c r="AH236" s="229">
        <v>0.56399999999999995</v>
      </c>
      <c r="AI236" s="225">
        <f t="shared" si="149"/>
        <v>339.86373544054317</v>
      </c>
      <c r="AJ236" s="226">
        <f t="shared" si="150"/>
        <v>-0.21355010940618269</v>
      </c>
      <c r="AK236" s="226"/>
      <c r="AL236" s="226">
        <f t="shared" si="151"/>
        <v>218.04628365204803</v>
      </c>
      <c r="AM236" s="228">
        <f t="shared" si="152"/>
        <v>131393.66039169024</v>
      </c>
      <c r="AN236" s="226"/>
      <c r="AO236" s="227">
        <v>2.4280373831776001</v>
      </c>
      <c r="AP236" s="225"/>
      <c r="AQ236" s="226">
        <f t="shared" si="153"/>
        <v>1463.1238560922354</v>
      </c>
      <c r="AR236" s="226">
        <f t="shared" si="154"/>
        <v>1.5567486269161457E-3</v>
      </c>
      <c r="AS236" s="228">
        <f>AR236*'DADOS BASE'!W$38</f>
        <v>466985.30772264092</v>
      </c>
      <c r="AT236" s="225"/>
      <c r="AU236" s="227">
        <v>0</v>
      </c>
      <c r="AV236" s="227">
        <v>0</v>
      </c>
      <c r="AW236" s="226">
        <f t="shared" si="155"/>
        <v>0</v>
      </c>
      <c r="AX236" s="226">
        <f>IF($AW$11&gt;0,(AW236/$AW$11)*'DADOS BASE'!W$40,0)</f>
        <v>0</v>
      </c>
      <c r="AY236" s="226">
        <f t="shared" si="156"/>
        <v>0</v>
      </c>
      <c r="AZ236" s="226">
        <f t="shared" si="157"/>
        <v>0</v>
      </c>
      <c r="BA236" s="226">
        <f>AZ236*'DADOS BASE'!W$41</f>
        <v>0</v>
      </c>
      <c r="BB236" s="225"/>
      <c r="BC236" s="227">
        <v>0</v>
      </c>
      <c r="BD236" s="226">
        <f>IF($BC$11&gt;0,(BC236/$BC$11)*'DADOS BASE'!W$39,0)</f>
        <v>0</v>
      </c>
      <c r="BE236" s="187"/>
    </row>
    <row r="237" spans="2:57" x14ac:dyDescent="0.3">
      <c r="B237" s="184" t="s">
        <v>351</v>
      </c>
      <c r="C237" s="184" t="s">
        <v>366</v>
      </c>
      <c r="D237" s="184" t="s">
        <v>94</v>
      </c>
      <c r="E237" s="184">
        <v>2013</v>
      </c>
      <c r="F237" s="185"/>
      <c r="H237" s="186">
        <f ca="1">IF(AND(E237&gt;=2018,SUMIF('DADOS BASE'!$C$101:$D$104,D237,'DADOS BASE'!$H$101:$H$104)&gt;J237),
SUMIF('DADOS BASE'!$C$101:$D$104,D237,'DADOS BASE'!$H$101:$H$104),
J237)</f>
        <v>1546692.9385891552</v>
      </c>
      <c r="J237" s="186">
        <f t="shared" si="146"/>
        <v>1546692.9385891552</v>
      </c>
      <c r="K237" s="186"/>
      <c r="L237" s="188">
        <v>1570.6674004247</v>
      </c>
      <c r="M237" s="186">
        <f t="shared" si="147"/>
        <v>1.2253619151234255E-3</v>
      </c>
      <c r="N237" s="186">
        <f>L237*'DADOS BASE'!$I$29</f>
        <v>1546692.9385891552</v>
      </c>
      <c r="O237" s="187"/>
      <c r="P237" s="188">
        <v>0</v>
      </c>
      <c r="Q237" s="186">
        <f>P237*'DADOS BASE'!$I$33</f>
        <v>0</v>
      </c>
      <c r="R237" s="186"/>
      <c r="S237" s="188">
        <v>0</v>
      </c>
      <c r="T237" s="186">
        <f>S237*'DADOS BASE'!$I$37</f>
        <v>0</v>
      </c>
      <c r="U237" s="186"/>
      <c r="V237" s="186">
        <f t="shared" si="148"/>
        <v>0</v>
      </c>
      <c r="W237" s="187"/>
      <c r="X237" s="186"/>
      <c r="Y237" s="186"/>
      <c r="Z237" s="185"/>
      <c r="AA237" s="186"/>
      <c r="AB237" s="186"/>
      <c r="AC237" s="186"/>
      <c r="AD237" s="186"/>
      <c r="AE237" s="188">
        <v>944</v>
      </c>
      <c r="AF237" s="188">
        <v>729.69597330806005</v>
      </c>
      <c r="AG237" s="186" t="s">
        <v>155</v>
      </c>
      <c r="AH237" s="189">
        <v>0.60899999999999999</v>
      </c>
      <c r="AI237" s="183">
        <f t="shared" si="149"/>
        <v>444.38484774460858</v>
      </c>
      <c r="AJ237" s="186">
        <f t="shared" si="150"/>
        <v>-0.15285437656759163</v>
      </c>
      <c r="AK237" s="186"/>
      <c r="AL237" s="186">
        <f t="shared" si="151"/>
        <v>207.14069444200027</v>
      </c>
      <c r="AM237" s="187">
        <f t="shared" si="152"/>
        <v>151149.73064256285</v>
      </c>
      <c r="AN237" s="186"/>
      <c r="AO237" s="188">
        <v>2.2643020594965999</v>
      </c>
      <c r="AQ237" s="186">
        <f t="shared" si="153"/>
        <v>1652.2520951678164</v>
      </c>
      <c r="AR237" s="186">
        <f t="shared" si="154"/>
        <v>1.7579791141821659E-3</v>
      </c>
      <c r="AS237" s="187">
        <f>AR237*'DADOS BASE'!W$38</f>
        <v>527349.37639392889</v>
      </c>
      <c r="AU237" s="188">
        <v>0</v>
      </c>
      <c r="AV237" s="188">
        <v>0</v>
      </c>
      <c r="AW237" s="186">
        <f t="shared" si="155"/>
        <v>0</v>
      </c>
      <c r="AX237" s="186">
        <f>IF($AW$11&gt;0,(AW237/$AW$11)*'DADOS BASE'!W$40,0)</f>
        <v>0</v>
      </c>
      <c r="AY237" s="186">
        <f t="shared" si="156"/>
        <v>0</v>
      </c>
      <c r="AZ237" s="186">
        <f t="shared" si="157"/>
        <v>0</v>
      </c>
      <c r="BA237" s="186">
        <f>AZ237*'DADOS BASE'!W$41</f>
        <v>0</v>
      </c>
      <c r="BC237" s="188">
        <v>0</v>
      </c>
      <c r="BD237" s="186">
        <f>IF($BC$11&gt;0,(BC237/$BC$11)*'DADOS BASE'!W$39,0)</f>
        <v>0</v>
      </c>
      <c r="BE237" s="187"/>
    </row>
    <row r="238" spans="2:57" x14ac:dyDescent="0.3">
      <c r="B238" s="223" t="s">
        <v>351</v>
      </c>
      <c r="C238" s="223" t="s">
        <v>367</v>
      </c>
      <c r="D238" s="223" t="s">
        <v>94</v>
      </c>
      <c r="E238" s="223">
        <v>2009</v>
      </c>
      <c r="F238" s="224"/>
      <c r="G238" s="225"/>
      <c r="H238" s="226">
        <f ca="1">IF(AND(E238&gt;=2018,SUMIF('DADOS BASE'!$C$101:$D$104,D238,'DADOS BASE'!$H$101:$H$104)&gt;J238),
SUMIF('DADOS BASE'!$C$101:$D$104,D238,'DADOS BASE'!$H$101:$H$104),
J238)</f>
        <v>4064674.1326385611</v>
      </c>
      <c r="I238" s="225"/>
      <c r="J238" s="226">
        <f t="shared" si="146"/>
        <v>4064674.1326385611</v>
      </c>
      <c r="K238" s="226"/>
      <c r="L238" s="227">
        <v>4127.6784772214996</v>
      </c>
      <c r="M238" s="226">
        <f t="shared" si="147"/>
        <v>3.2202234556432843E-3</v>
      </c>
      <c r="N238" s="226">
        <f>L238*'DADOS BASE'!$I$29</f>
        <v>4064674.1326385611</v>
      </c>
      <c r="O238" s="228"/>
      <c r="P238" s="227">
        <v>0</v>
      </c>
      <c r="Q238" s="226">
        <f>P238*'DADOS BASE'!$I$33</f>
        <v>0</v>
      </c>
      <c r="R238" s="226"/>
      <c r="S238" s="227">
        <v>0</v>
      </c>
      <c r="T238" s="226">
        <f>S238*'DADOS BASE'!$I$37</f>
        <v>0</v>
      </c>
      <c r="U238" s="226"/>
      <c r="V238" s="226">
        <f t="shared" si="148"/>
        <v>0</v>
      </c>
      <c r="W238" s="228"/>
      <c r="X238" s="226"/>
      <c r="Y238" s="226"/>
      <c r="Z238" s="224"/>
      <c r="AA238" s="226"/>
      <c r="AB238" s="226"/>
      <c r="AC238" s="226"/>
      <c r="AD238" s="226"/>
      <c r="AE238" s="227">
        <v>2750</v>
      </c>
      <c r="AF238" s="227">
        <v>1872.7329869151999</v>
      </c>
      <c r="AG238" s="226" t="s">
        <v>155</v>
      </c>
      <c r="AH238" s="229">
        <v>0.73099999999999998</v>
      </c>
      <c r="AI238" s="225">
        <f t="shared" si="149"/>
        <v>1368.9678134350111</v>
      </c>
      <c r="AJ238" s="226">
        <f t="shared" si="150"/>
        <v>1.169849912814397E-2</v>
      </c>
      <c r="AK238" s="226"/>
      <c r="AL238" s="226">
        <f t="shared" si="151"/>
        <v>177.57443036142635</v>
      </c>
      <c r="AM238" s="228">
        <f t="shared" si="152"/>
        <v>332549.49337051914</v>
      </c>
      <c r="AN238" s="226"/>
      <c r="AO238" s="227">
        <v>2.1640625</v>
      </c>
      <c r="AP238" s="225"/>
      <c r="AQ238" s="226">
        <f t="shared" si="153"/>
        <v>4052.7112294961748</v>
      </c>
      <c r="AR238" s="226">
        <f t="shared" si="154"/>
        <v>4.3120427676275217E-3</v>
      </c>
      <c r="AS238" s="228">
        <f>AR238*'DADOS BASE'!W$38</f>
        <v>1293504.0275209392</v>
      </c>
      <c r="AT238" s="225"/>
      <c r="AU238" s="227">
        <v>0</v>
      </c>
      <c r="AV238" s="227">
        <v>0</v>
      </c>
      <c r="AW238" s="226">
        <f t="shared" si="155"/>
        <v>0</v>
      </c>
      <c r="AX238" s="226">
        <f>IF($AW$11&gt;0,(AW238/$AW$11)*'DADOS BASE'!W$40,0)</f>
        <v>0</v>
      </c>
      <c r="AY238" s="226">
        <f t="shared" si="156"/>
        <v>0</v>
      </c>
      <c r="AZ238" s="226">
        <f t="shared" si="157"/>
        <v>0</v>
      </c>
      <c r="BA238" s="226">
        <f>AZ238*'DADOS BASE'!W$41</f>
        <v>0</v>
      </c>
      <c r="BB238" s="225"/>
      <c r="BC238" s="227">
        <v>0</v>
      </c>
      <c r="BD238" s="226">
        <f>IF($BC$11&gt;0,(BC238/$BC$11)*'DADOS BASE'!W$39,0)</f>
        <v>0</v>
      </c>
      <c r="BE238" s="187"/>
    </row>
    <row r="239" spans="2:57" x14ac:dyDescent="0.3">
      <c r="B239" s="184" t="s">
        <v>351</v>
      </c>
      <c r="C239" s="184" t="s">
        <v>368</v>
      </c>
      <c r="D239" s="184" t="s">
        <v>94</v>
      </c>
      <c r="E239" s="184">
        <v>2016</v>
      </c>
      <c r="F239" s="185"/>
      <c r="H239" s="186">
        <f ca="1">IF(AND(E239&gt;=2018,SUMIF('DADOS BASE'!$C$101:$D$104,D239,'DADOS BASE'!$H$101:$H$104)&gt;J239),
SUMIF('DADOS BASE'!$C$101:$D$104,D239,'DADOS BASE'!$H$101:$H$104),
J239)</f>
        <v>505099.48065057996</v>
      </c>
      <c r="J239" s="186">
        <f t="shared" si="146"/>
        <v>505099.48065057996</v>
      </c>
      <c r="K239" s="186"/>
      <c r="L239" s="188">
        <v>512.80864846040004</v>
      </c>
      <c r="M239" s="186">
        <f t="shared" si="147"/>
        <v>4.0006954202995599E-4</v>
      </c>
      <c r="N239" s="186">
        <f>L239*'DADOS BASE'!$I$29</f>
        <v>504981.2042999579</v>
      </c>
      <c r="O239" s="187"/>
      <c r="P239" s="188">
        <v>0</v>
      </c>
      <c r="Q239" s="186">
        <f>P239*'DADOS BASE'!$I$33</f>
        <v>0</v>
      </c>
      <c r="R239" s="186"/>
      <c r="S239" s="188">
        <v>0.15013711151737</v>
      </c>
      <c r="T239" s="186">
        <f>S239*'DADOS BASE'!$I$37</f>
        <v>118.27635062205977</v>
      </c>
      <c r="U239" s="186"/>
      <c r="V239" s="186">
        <f t="shared" si="148"/>
        <v>118.27635062205977</v>
      </c>
      <c r="W239" s="187"/>
      <c r="X239" s="186"/>
      <c r="Y239" s="186"/>
      <c r="Z239" s="185"/>
      <c r="AA239" s="186"/>
      <c r="AB239" s="186"/>
      <c r="AC239" s="186"/>
      <c r="AD239" s="186"/>
      <c r="AE239" s="188">
        <v>361</v>
      </c>
      <c r="AF239" s="188">
        <v>341.87243230693002</v>
      </c>
      <c r="AG239" s="186" t="s">
        <v>155</v>
      </c>
      <c r="AH239" s="189">
        <v>0.59899999999999998</v>
      </c>
      <c r="AI239" s="183">
        <f t="shared" si="149"/>
        <v>204.78158695185107</v>
      </c>
      <c r="AJ239" s="186">
        <f t="shared" si="150"/>
        <v>-0.16634231719838966</v>
      </c>
      <c r="AK239" s="186"/>
      <c r="AL239" s="186">
        <f t="shared" si="151"/>
        <v>209.56415871089976</v>
      </c>
      <c r="AM239" s="187">
        <f t="shared" si="152"/>
        <v>71644.208662850811</v>
      </c>
      <c r="AN239" s="186"/>
      <c r="AO239" s="188">
        <v>1.9639344262295</v>
      </c>
      <c r="AQ239" s="186">
        <f t="shared" si="153"/>
        <v>671.41503918639421</v>
      </c>
      <c r="AR239" s="186">
        <f t="shared" si="154"/>
        <v>7.1437864675099542E-4</v>
      </c>
      <c r="AS239" s="187">
        <f>AR239*'DADOS BASE'!W$38</f>
        <v>214295.56860721548</v>
      </c>
      <c r="AU239" s="188">
        <v>7.5068555758684E-2</v>
      </c>
      <c r="AV239" s="188">
        <v>0.25</v>
      </c>
      <c r="AW239" s="186">
        <f t="shared" si="155"/>
        <v>1.8767138939671E-2</v>
      </c>
      <c r="AX239" s="186">
        <f>IF($AW$11&gt;0,(AW239/$AW$11)*'DADOS BASE'!W$40,0)</f>
        <v>3.3720114800856948</v>
      </c>
      <c r="AY239" s="186">
        <f t="shared" si="156"/>
        <v>3.6857430245452072E-2</v>
      </c>
      <c r="AZ239" s="186">
        <f t="shared" si="157"/>
        <v>1.9276552295378332E-6</v>
      </c>
      <c r="BA239" s="186">
        <f>AZ239*'DADOS BASE'!W$41</f>
        <v>14.241234954860113</v>
      </c>
      <c r="BC239" s="188">
        <v>0</v>
      </c>
      <c r="BD239" s="186">
        <f>IF($BC$11&gt;0,(BC239/$BC$11)*'DADOS BASE'!W$39,0)</f>
        <v>0</v>
      </c>
      <c r="BE239" s="187"/>
    </row>
    <row r="240" spans="2:57" x14ac:dyDescent="0.3">
      <c r="B240" s="223" t="s">
        <v>351</v>
      </c>
      <c r="C240" s="223" t="s">
        <v>369</v>
      </c>
      <c r="D240" s="223" t="s">
        <v>94</v>
      </c>
      <c r="E240" s="223">
        <v>2013</v>
      </c>
      <c r="F240" s="224"/>
      <c r="G240" s="225"/>
      <c r="H240" s="226">
        <f ca="1">IF(AND(E240&gt;=2018,SUMIF('DADOS BASE'!$C$101:$D$104,D240,'DADOS BASE'!$H$101:$H$104)&gt;J240),
SUMIF('DADOS BASE'!$C$101:$D$104,D240,'DADOS BASE'!$H$101:$H$104),
J240)</f>
        <v>1475849.4551956253</v>
      </c>
      <c r="I240" s="225"/>
      <c r="J240" s="226">
        <f t="shared" si="146"/>
        <v>1475849.4551956253</v>
      </c>
      <c r="K240" s="226"/>
      <c r="L240" s="227">
        <v>1484.5058100013</v>
      </c>
      <c r="M240" s="226">
        <f t="shared" si="147"/>
        <v>1.1581426353301672E-3</v>
      </c>
      <c r="N240" s="226">
        <f>L240*'DADOS BASE'!$I$29</f>
        <v>1461846.5074163624</v>
      </c>
      <c r="O240" s="228"/>
      <c r="P240" s="227">
        <v>0</v>
      </c>
      <c r="Q240" s="226">
        <f>P240*'DADOS BASE'!$I$33</f>
        <v>0</v>
      </c>
      <c r="R240" s="226"/>
      <c r="S240" s="227">
        <v>17.774999999999999</v>
      </c>
      <c r="T240" s="226">
        <f>S240*'DADOS BASE'!$I$37</f>
        <v>14002.947779262964</v>
      </c>
      <c r="U240" s="226"/>
      <c r="V240" s="226">
        <f t="shared" si="148"/>
        <v>14002.947779262964</v>
      </c>
      <c r="W240" s="228"/>
      <c r="X240" s="226"/>
      <c r="Y240" s="226"/>
      <c r="Z240" s="224"/>
      <c r="AA240" s="226"/>
      <c r="AB240" s="226"/>
      <c r="AC240" s="226"/>
      <c r="AD240" s="226"/>
      <c r="AE240" s="227">
        <v>605</v>
      </c>
      <c r="AF240" s="227">
        <v>593.80232400052</v>
      </c>
      <c r="AG240" s="226" t="s">
        <v>155</v>
      </c>
      <c r="AH240" s="229">
        <v>0.68200000000000005</v>
      </c>
      <c r="AI240" s="225">
        <f t="shared" si="149"/>
        <v>404.97318496835464</v>
      </c>
      <c r="AJ240" s="226">
        <f t="shared" si="150"/>
        <v>-5.439240996276614E-2</v>
      </c>
      <c r="AK240" s="226"/>
      <c r="AL240" s="226">
        <f t="shared" si="151"/>
        <v>189.4494052790339</v>
      </c>
      <c r="AM240" s="228">
        <f t="shared" si="152"/>
        <v>112495.49713520671</v>
      </c>
      <c r="AN240" s="226"/>
      <c r="AO240" s="227">
        <v>2.3662207357859999</v>
      </c>
      <c r="AP240" s="225"/>
      <c r="AQ240" s="226">
        <f t="shared" si="153"/>
        <v>1405.0673720079471</v>
      </c>
      <c r="AR240" s="226">
        <f t="shared" si="154"/>
        <v>1.4949771292363911E-3</v>
      </c>
      <c r="AS240" s="228">
        <f>AR240*'DADOS BASE'!W$38</f>
        <v>448455.41705582716</v>
      </c>
      <c r="AT240" s="225"/>
      <c r="AU240" s="227">
        <v>17.774999999999999</v>
      </c>
      <c r="AV240" s="227">
        <v>28.25</v>
      </c>
      <c r="AW240" s="226">
        <f t="shared" si="155"/>
        <v>4.4437499999999996</v>
      </c>
      <c r="AX240" s="226">
        <f>IF($AW$11&gt;0,(AW240/$AW$11)*'DADOS BASE'!W$40,0)</f>
        <v>798.43688815858945</v>
      </c>
      <c r="AY240" s="226">
        <f t="shared" si="156"/>
        <v>10.514893394649036</v>
      </c>
      <c r="AZ240" s="226">
        <f t="shared" si="157"/>
        <v>5.4993224175548926E-4</v>
      </c>
      <c r="BA240" s="226">
        <f>AZ240*'DADOS BASE'!W$41</f>
        <v>4062.8189855146225</v>
      </c>
      <c r="BB240" s="225"/>
      <c r="BC240" s="227">
        <v>0</v>
      </c>
      <c r="BD240" s="226">
        <f>IF($BC$11&gt;0,(BC240/$BC$11)*'DADOS BASE'!W$39,0)</f>
        <v>0</v>
      </c>
      <c r="BE240" s="187"/>
    </row>
    <row r="241" spans="2:57" x14ac:dyDescent="0.3">
      <c r="B241" s="184" t="s">
        <v>351</v>
      </c>
      <c r="C241" s="184" t="s">
        <v>370</v>
      </c>
      <c r="D241" s="184" t="s">
        <v>94</v>
      </c>
      <c r="E241" s="184">
        <v>2010</v>
      </c>
      <c r="F241" s="185"/>
      <c r="H241" s="186">
        <f ca="1">IF(AND(E241&gt;=2018,SUMIF('DADOS BASE'!$C$101:$D$104,D241,'DADOS BASE'!$H$101:$H$104)&gt;J241),
SUMIF('DADOS BASE'!$C$101:$D$104,D241,'DADOS BASE'!$H$101:$H$104),
J241)</f>
        <v>1179390.2764618692</v>
      </c>
      <c r="J241" s="186">
        <f t="shared" si="146"/>
        <v>1179390.2764618692</v>
      </c>
      <c r="K241" s="186"/>
      <c r="L241" s="188">
        <v>1123.2442789716999</v>
      </c>
      <c r="M241" s="186">
        <f t="shared" si="147"/>
        <v>8.763031310511872E-4</v>
      </c>
      <c r="N241" s="186">
        <f>L241*'DADOS BASE'!$I$29</f>
        <v>1106099.2251615047</v>
      </c>
      <c r="O241" s="187"/>
      <c r="P241" s="188">
        <v>0</v>
      </c>
      <c r="Q241" s="186">
        <f>P241*'DADOS BASE'!$I$33</f>
        <v>0</v>
      </c>
      <c r="R241" s="186"/>
      <c r="S241" s="188">
        <v>93.033870967742004</v>
      </c>
      <c r="T241" s="186">
        <f>S241*'DADOS BASE'!$I$37</f>
        <v>73291.051300364561</v>
      </c>
      <c r="U241" s="186"/>
      <c r="V241" s="186">
        <f t="shared" si="148"/>
        <v>73291.051300364561</v>
      </c>
      <c r="W241" s="187"/>
      <c r="X241" s="186"/>
      <c r="Y241" s="186"/>
      <c r="Z241" s="185"/>
      <c r="AA241" s="186"/>
      <c r="AB241" s="186"/>
      <c r="AC241" s="186"/>
      <c r="AD241" s="186"/>
      <c r="AE241" s="188">
        <v>832</v>
      </c>
      <c r="AF241" s="188">
        <v>768.84957181743005</v>
      </c>
      <c r="AG241" s="186" t="s">
        <v>155</v>
      </c>
      <c r="AH241" s="189">
        <v>0.63700000000000001</v>
      </c>
      <c r="AI241" s="183">
        <f t="shared" si="149"/>
        <v>489.75717724770294</v>
      </c>
      <c r="AJ241" s="186">
        <f t="shared" si="150"/>
        <v>-0.11508814280135721</v>
      </c>
      <c r="AK241" s="186"/>
      <c r="AL241" s="186">
        <f t="shared" si="151"/>
        <v>200.35499448908166</v>
      </c>
      <c r="AM241" s="187">
        <f t="shared" si="152"/>
        <v>154042.85172441398</v>
      </c>
      <c r="AN241" s="186"/>
      <c r="AO241" s="188">
        <v>2.3178807947019999</v>
      </c>
      <c r="AQ241" s="186">
        <f t="shared" si="153"/>
        <v>1782.1016565304772</v>
      </c>
      <c r="AR241" s="186">
        <f t="shared" si="154"/>
        <v>1.8961377024078253E-3</v>
      </c>
      <c r="AS241" s="187">
        <f>AR241*'DADOS BASE'!W$38</f>
        <v>568793.46680234163</v>
      </c>
      <c r="AU241" s="188">
        <v>93.033870967742004</v>
      </c>
      <c r="AV241" s="188">
        <v>118.5</v>
      </c>
      <c r="AW241" s="186">
        <f t="shared" si="155"/>
        <v>23.258467741935501</v>
      </c>
      <c r="AX241" s="186">
        <f>IF($AW$11&gt;0,(AW241/$AW$11)*'DADOS BASE'!W$40,0)</f>
        <v>4178.9971549272386</v>
      </c>
      <c r="AY241" s="186">
        <f t="shared" si="156"/>
        <v>53.91035569322829</v>
      </c>
      <c r="AZ241" s="186">
        <f t="shared" si="157"/>
        <v>2.819528610275786E-3</v>
      </c>
      <c r="BA241" s="186">
        <f>AZ241*'DADOS BASE'!W$41</f>
        <v>20830.265073134859</v>
      </c>
      <c r="BC241" s="188">
        <v>0</v>
      </c>
      <c r="BD241" s="186">
        <f>IF($BC$11&gt;0,(BC241/$BC$11)*'DADOS BASE'!W$39,0)</f>
        <v>0</v>
      </c>
      <c r="BE241" s="187"/>
    </row>
    <row r="242" spans="2:57" x14ac:dyDescent="0.3">
      <c r="B242" s="223" t="s">
        <v>351</v>
      </c>
      <c r="C242" s="223" t="s">
        <v>371</v>
      </c>
      <c r="D242" s="223" t="s">
        <v>94</v>
      </c>
      <c r="E242" s="223">
        <v>2020</v>
      </c>
      <c r="F242" s="224"/>
      <c r="G242" s="225"/>
      <c r="H242" s="226">
        <f ca="1">IF(AND(E242&gt;=2018,SUMIF('DADOS BASE'!$C$101:$D$104,D242,'DADOS BASE'!$H$101:$H$104)&gt;J242),
SUMIF('DADOS BASE'!$C$101:$D$104,D242,'DADOS BASE'!$H$101:$H$104),
J242)</f>
        <v>700000</v>
      </c>
      <c r="I242" s="225"/>
      <c r="J242" s="226">
        <f t="shared" si="146"/>
        <v>461810.86057623697</v>
      </c>
      <c r="K242" s="226"/>
      <c r="L242" s="227">
        <v>467.96914427682998</v>
      </c>
      <c r="M242" s="226">
        <f t="shared" si="147"/>
        <v>3.6508783889872175E-4</v>
      </c>
      <c r="N242" s="226">
        <f>L242*'DADOS BASE'!$I$29</f>
        <v>460826.1244454871</v>
      </c>
      <c r="O242" s="228"/>
      <c r="P242" s="227">
        <v>0</v>
      </c>
      <c r="Q242" s="226">
        <f>P242*'DADOS BASE'!$I$33</f>
        <v>0</v>
      </c>
      <c r="R242" s="226"/>
      <c r="S242" s="227">
        <v>1.25</v>
      </c>
      <c r="T242" s="226">
        <f>S242*'DADOS BASE'!$I$37</f>
        <v>984.7361307498569</v>
      </c>
      <c r="U242" s="226"/>
      <c r="V242" s="226">
        <f t="shared" si="148"/>
        <v>984.7361307498569</v>
      </c>
      <c r="W242" s="228"/>
      <c r="X242" s="226"/>
      <c r="Y242" s="226"/>
      <c r="Z242" s="224"/>
      <c r="AA242" s="226"/>
      <c r="AB242" s="226"/>
      <c r="AC242" s="226"/>
      <c r="AD242" s="226"/>
      <c r="AE242" s="227">
        <v>287</v>
      </c>
      <c r="AF242" s="227">
        <v>265.03943061634999</v>
      </c>
      <c r="AG242" s="226" t="s">
        <v>155</v>
      </c>
      <c r="AH242" s="229">
        <v>0.65300000000000002</v>
      </c>
      <c r="AI242" s="225">
        <f t="shared" si="149"/>
        <v>173.07074819247654</v>
      </c>
      <c r="AJ242" s="226">
        <f t="shared" si="150"/>
        <v>-9.3507437792080386E-2</v>
      </c>
      <c r="AK242" s="226"/>
      <c r="AL242" s="226">
        <f t="shared" si="151"/>
        <v>196.47745165884245</v>
      </c>
      <c r="AM242" s="228">
        <f t="shared" si="152"/>
        <v>52074.271916611033</v>
      </c>
      <c r="AN242" s="226"/>
      <c r="AO242" s="227">
        <v>2.2010050251256001</v>
      </c>
      <c r="AP242" s="225"/>
      <c r="AQ242" s="226">
        <f t="shared" si="153"/>
        <v>583.35311864301411</v>
      </c>
      <c r="AR242" s="226">
        <f t="shared" si="154"/>
        <v>6.2068167549413176E-4</v>
      </c>
      <c r="AS242" s="228">
        <f>AR242*'DADOS BASE'!W$38</f>
        <v>186188.84142047437</v>
      </c>
      <c r="AT242" s="225"/>
      <c r="AU242" s="227">
        <v>1.25</v>
      </c>
      <c r="AV242" s="227">
        <v>12.5</v>
      </c>
      <c r="AW242" s="226">
        <f t="shared" si="155"/>
        <v>0.3125</v>
      </c>
      <c r="AX242" s="226">
        <f>IF($AW$11&gt;0,(AW242/$AW$11)*'DADOS BASE'!W$40,0)</f>
        <v>56.148866959113185</v>
      </c>
      <c r="AY242" s="226">
        <f t="shared" si="156"/>
        <v>0.68781407035175002</v>
      </c>
      <c r="AZ242" s="226">
        <f t="shared" si="157"/>
        <v>3.597289286946032E-5</v>
      </c>
      <c r="BA242" s="226">
        <f>AZ242*'DADOS BASE'!W$41</f>
        <v>265.76247220454616</v>
      </c>
      <c r="BB242" s="225"/>
      <c r="BC242" s="227">
        <v>0</v>
      </c>
      <c r="BD242" s="226">
        <f>IF($BC$11&gt;0,(BC242/$BC$11)*'DADOS BASE'!W$39,0)</f>
        <v>0</v>
      </c>
      <c r="BE242" s="187"/>
    </row>
    <row r="243" spans="2:57" x14ac:dyDescent="0.3">
      <c r="B243" s="184" t="s">
        <v>351</v>
      </c>
      <c r="C243" s="184" t="s">
        <v>219</v>
      </c>
      <c r="D243" s="184" t="s">
        <v>94</v>
      </c>
      <c r="E243" s="184">
        <v>2010</v>
      </c>
      <c r="F243" s="185"/>
      <c r="H243" s="186">
        <f ca="1">IF(AND(E243&gt;=2018,SUMIF('DADOS BASE'!$C$101:$D$104,D243,'DADOS BASE'!$H$101:$H$104)&gt;J243),
SUMIF('DADOS BASE'!$C$101:$D$104,D243,'DADOS BASE'!$H$101:$H$104),
J243)</f>
        <v>2796380.8914199742</v>
      </c>
      <c r="J243" s="186">
        <f t="shared" si="146"/>
        <v>2796380.8914199742</v>
      </c>
      <c r="K243" s="186"/>
      <c r="L243" s="188">
        <v>2839.7260993059999</v>
      </c>
      <c r="M243" s="186">
        <f t="shared" si="147"/>
        <v>2.2154226989945067E-3</v>
      </c>
      <c r="N243" s="186">
        <f>L243*'DADOS BASE'!$I$29</f>
        <v>2796380.8914199742</v>
      </c>
      <c r="O243" s="187"/>
      <c r="P243" s="188">
        <v>0</v>
      </c>
      <c r="Q243" s="186">
        <f>P243*'DADOS BASE'!$I$33</f>
        <v>0</v>
      </c>
      <c r="R243" s="186"/>
      <c r="S243" s="188">
        <v>0</v>
      </c>
      <c r="T243" s="186">
        <f>S243*'DADOS BASE'!$I$37</f>
        <v>0</v>
      </c>
      <c r="U243" s="186"/>
      <c r="V243" s="186">
        <f t="shared" si="148"/>
        <v>0</v>
      </c>
      <c r="W243" s="187"/>
      <c r="X243" s="186"/>
      <c r="Y243" s="186"/>
      <c r="Z243" s="185"/>
      <c r="AA243" s="186"/>
      <c r="AB243" s="186"/>
      <c r="AC243" s="186"/>
      <c r="AD243" s="186"/>
      <c r="AE243" s="188">
        <v>1570</v>
      </c>
      <c r="AF243" s="188">
        <v>1340.2050192223001</v>
      </c>
      <c r="AG243" s="186" t="s">
        <v>155</v>
      </c>
      <c r="AH243" s="189">
        <v>0.67400000000000004</v>
      </c>
      <c r="AI243" s="183">
        <f t="shared" si="149"/>
        <v>903.29818295583027</v>
      </c>
      <c r="AJ243" s="186">
        <f t="shared" si="150"/>
        <v>-6.5182762467404551E-2</v>
      </c>
      <c r="AK243" s="186"/>
      <c r="AL243" s="186">
        <f t="shared" si="151"/>
        <v>191.38817669415349</v>
      </c>
      <c r="AM243" s="187">
        <f t="shared" si="152"/>
        <v>256499.39502530894</v>
      </c>
      <c r="AN243" s="186"/>
      <c r="AO243" s="188">
        <v>2.2681902985075002</v>
      </c>
      <c r="AQ243" s="186">
        <f t="shared" si="153"/>
        <v>3039.8400226110789</v>
      </c>
      <c r="AR243" s="186">
        <f t="shared" si="154"/>
        <v>3.2343582954649191E-3</v>
      </c>
      <c r="AS243" s="187">
        <f>AR243*'DADOS BASE'!W$38</f>
        <v>970225.87833271245</v>
      </c>
      <c r="AU243" s="188">
        <v>0</v>
      </c>
      <c r="AV243" s="188">
        <v>0</v>
      </c>
      <c r="AW243" s="186">
        <f t="shared" si="155"/>
        <v>0</v>
      </c>
      <c r="AX243" s="186">
        <f>IF($AW$11&gt;0,(AW243/$AW$11)*'DADOS BASE'!W$40,0)</f>
        <v>0</v>
      </c>
      <c r="AY243" s="186">
        <f t="shared" si="156"/>
        <v>0</v>
      </c>
      <c r="AZ243" s="186">
        <f t="shared" si="157"/>
        <v>0</v>
      </c>
      <c r="BA243" s="186">
        <f>AZ243*'DADOS BASE'!W$41</f>
        <v>0</v>
      </c>
      <c r="BC243" s="188">
        <v>0</v>
      </c>
      <c r="BD243" s="186">
        <f>IF($BC$11&gt;0,(BC243/$BC$11)*'DADOS BASE'!W$39,0)</f>
        <v>0</v>
      </c>
      <c r="BE243" s="187"/>
    </row>
    <row r="244" spans="2:57" x14ac:dyDescent="0.3">
      <c r="B244" s="223" t="s">
        <v>351</v>
      </c>
      <c r="C244" s="223" t="s">
        <v>372</v>
      </c>
      <c r="D244" s="223" t="s">
        <v>94</v>
      </c>
      <c r="E244" s="223">
        <v>2010</v>
      </c>
      <c r="F244" s="224"/>
      <c r="G244" s="225"/>
      <c r="H244" s="226">
        <f ca="1">IF(AND(E244&gt;=2018,SUMIF('DADOS BASE'!$C$101:$D$104,D244,'DADOS BASE'!$H$101:$H$104)&gt;J244),
SUMIF('DADOS BASE'!$C$101:$D$104,D244,'DADOS BASE'!$H$101:$H$104),
J244)</f>
        <v>1626735.4932986752</v>
      </c>
      <c r="I244" s="225"/>
      <c r="J244" s="226">
        <f t="shared" si="146"/>
        <v>1626735.4932986752</v>
      </c>
      <c r="K244" s="226"/>
      <c r="L244" s="227">
        <v>1607.2932759340999</v>
      </c>
      <c r="M244" s="226">
        <f t="shared" si="147"/>
        <v>1.2539357258137952E-3</v>
      </c>
      <c r="N244" s="226">
        <f>L244*'DADOS BASE'!$I$29</f>
        <v>1582759.7615236077</v>
      </c>
      <c r="O244" s="228"/>
      <c r="P244" s="227">
        <v>33.003484320557</v>
      </c>
      <c r="Q244" s="226">
        <f>P244*'DADOS BASE'!$I$33</f>
        <v>8124.9308627722176</v>
      </c>
      <c r="R244" s="226"/>
      <c r="S244" s="227">
        <v>45.508131306449002</v>
      </c>
      <c r="T244" s="226">
        <f>S244*'DADOS BASE'!$I$37</f>
        <v>35850.800912295221</v>
      </c>
      <c r="U244" s="226"/>
      <c r="V244" s="226">
        <f t="shared" si="148"/>
        <v>43975.731775067441</v>
      </c>
      <c r="W244" s="228"/>
      <c r="X244" s="226"/>
      <c r="Y244" s="226"/>
      <c r="Z244" s="224"/>
      <c r="AA244" s="226"/>
      <c r="AB244" s="226"/>
      <c r="AC244" s="226"/>
      <c r="AD244" s="226"/>
      <c r="AE244" s="227">
        <v>979</v>
      </c>
      <c r="AF244" s="227">
        <v>846.22039185209997</v>
      </c>
      <c r="AG244" s="226" t="s">
        <v>155</v>
      </c>
      <c r="AH244" s="229">
        <v>0.61499999999999999</v>
      </c>
      <c r="AI244" s="225">
        <f t="shared" si="149"/>
        <v>520.42554098904145</v>
      </c>
      <c r="AJ244" s="226">
        <f t="shared" si="150"/>
        <v>-0.14476161218911282</v>
      </c>
      <c r="AK244" s="226"/>
      <c r="AL244" s="226">
        <f t="shared" si="151"/>
        <v>205.68661588066055</v>
      </c>
      <c r="AM244" s="228">
        <f t="shared" si="152"/>
        <v>174056.20868926495</v>
      </c>
      <c r="AN244" s="226"/>
      <c r="AO244" s="227">
        <v>2.2301587301587</v>
      </c>
      <c r="AP244" s="225"/>
      <c r="AQ244" s="226">
        <f t="shared" si="153"/>
        <v>1887.2057945272768</v>
      </c>
      <c r="AR244" s="226">
        <f t="shared" si="154"/>
        <v>2.0079674165010171E-3</v>
      </c>
      <c r="AS244" s="228">
        <f>AR244*'DADOS BASE'!W$38</f>
        <v>602339.55930912949</v>
      </c>
      <c r="AT244" s="225"/>
      <c r="AU244" s="227">
        <v>18.280256741989</v>
      </c>
      <c r="AV244" s="227">
        <v>19.25</v>
      </c>
      <c r="AW244" s="226">
        <f t="shared" si="155"/>
        <v>4.5700641854972499</v>
      </c>
      <c r="AX244" s="226">
        <f>IF($AW$11&gt;0,(AW244/$AW$11)*'DADOS BASE'!W$40,0)</f>
        <v>821.13256302749778</v>
      </c>
      <c r="AY244" s="226">
        <f t="shared" si="156"/>
        <v>10.191968540672301</v>
      </c>
      <c r="AZ244" s="226">
        <f t="shared" si="157"/>
        <v>5.3304317001688639E-4</v>
      </c>
      <c r="BA244" s="226">
        <f>AZ244*'DADOS BASE'!W$41</f>
        <v>3938.0449931982694</v>
      </c>
      <c r="BB244" s="225"/>
      <c r="BC244" s="227">
        <v>0</v>
      </c>
      <c r="BD244" s="226">
        <f>IF($BC$11&gt;0,(BC244/$BC$11)*'DADOS BASE'!W$39,0)</f>
        <v>0</v>
      </c>
      <c r="BE244" s="187"/>
    </row>
    <row r="245" spans="2:57" x14ac:dyDescent="0.3">
      <c r="B245" s="184" t="s">
        <v>351</v>
      </c>
      <c r="C245" s="184" t="s">
        <v>373</v>
      </c>
      <c r="D245" s="184" t="s">
        <v>94</v>
      </c>
      <c r="E245" s="184">
        <v>2015</v>
      </c>
      <c r="F245" s="185"/>
      <c r="H245" s="186">
        <f ca="1">IF(AND(E245&gt;=2018,SUMIF('DADOS BASE'!$C$101:$D$104,D245,'DADOS BASE'!$H$101:$H$104)&gt;J245),
SUMIF('DADOS BASE'!$C$101:$D$104,D245,'DADOS BASE'!$H$101:$H$104),
J245)</f>
        <v>1112802.4649118746</v>
      </c>
      <c r="J245" s="186">
        <f t="shared" si="146"/>
        <v>1112802.4649118746</v>
      </c>
      <c r="K245" s="186"/>
      <c r="L245" s="188">
        <v>1120.4110680819001</v>
      </c>
      <c r="M245" s="186">
        <f t="shared" si="147"/>
        <v>8.7409279121670991E-4</v>
      </c>
      <c r="N245" s="186">
        <f>L245*'DADOS BASE'!$I$29</f>
        <v>1103309.2600322848</v>
      </c>
      <c r="O245" s="187"/>
      <c r="P245" s="188">
        <v>0</v>
      </c>
      <c r="Q245" s="186">
        <f>P245*'DADOS BASE'!$I$33</f>
        <v>0</v>
      </c>
      <c r="R245" s="186"/>
      <c r="S245" s="188">
        <v>12.050442477876</v>
      </c>
      <c r="T245" s="186">
        <f>S245*'DADOS BASE'!$I$37</f>
        <v>9493.2048795898645</v>
      </c>
      <c r="U245" s="186"/>
      <c r="V245" s="186">
        <f t="shared" si="148"/>
        <v>9493.2048795898645</v>
      </c>
      <c r="W245" s="187"/>
      <c r="X245" s="186"/>
      <c r="Y245" s="186"/>
      <c r="Z245" s="185"/>
      <c r="AA245" s="186"/>
      <c r="AB245" s="186"/>
      <c r="AC245" s="186"/>
      <c r="AD245" s="186"/>
      <c r="AE245" s="188">
        <v>822</v>
      </c>
      <c r="AF245" s="188">
        <v>633.56172708250006</v>
      </c>
      <c r="AG245" s="186" t="s">
        <v>155</v>
      </c>
      <c r="AH245" s="189">
        <v>0.70799999999999996</v>
      </c>
      <c r="AI245" s="183">
        <f t="shared" si="149"/>
        <v>448.56170277441004</v>
      </c>
      <c r="AJ245" s="186">
        <f t="shared" si="150"/>
        <v>-1.9323764322691461E-2</v>
      </c>
      <c r="AK245" s="186"/>
      <c r="AL245" s="186">
        <f t="shared" si="151"/>
        <v>183.1483981798952</v>
      </c>
      <c r="AM245" s="187">
        <f t="shared" si="152"/>
        <v>116035.81546324781</v>
      </c>
      <c r="AN245" s="186"/>
      <c r="AO245" s="188">
        <v>2.1278409090908998</v>
      </c>
      <c r="AQ245" s="186">
        <f t="shared" si="153"/>
        <v>1348.1185613204275</v>
      </c>
      <c r="AR245" s="186">
        <f t="shared" si="154"/>
        <v>1.4343841845768143E-3</v>
      </c>
      <c r="AS245" s="187">
        <f>AR245*'DADOS BASE'!W$38</f>
        <v>430279.06255746045</v>
      </c>
      <c r="AU245" s="188">
        <v>12.050442477876</v>
      </c>
      <c r="AV245" s="188">
        <v>25.5</v>
      </c>
      <c r="AW245" s="186">
        <f t="shared" si="155"/>
        <v>3.0126106194690001</v>
      </c>
      <c r="AX245" s="186">
        <f>IF($AW$11&gt;0,(AW245/$AW$11)*'DADOS BASE'!W$40,0)</f>
        <v>541.29495319096463</v>
      </c>
      <c r="AY245" s="186">
        <f t="shared" si="156"/>
        <v>6.4103561192678162</v>
      </c>
      <c r="AZ245" s="186">
        <f t="shared" si="157"/>
        <v>3.3526364736269723E-4</v>
      </c>
      <c r="BA245" s="186">
        <f>AZ245*'DADOS BASE'!W$41</f>
        <v>2476.8788011226829</v>
      </c>
      <c r="BC245" s="188">
        <v>0</v>
      </c>
      <c r="BD245" s="186">
        <f>IF($BC$11&gt;0,(BC245/$BC$11)*'DADOS BASE'!W$39,0)</f>
        <v>0</v>
      </c>
      <c r="BE245" s="187"/>
    </row>
    <row r="246" spans="2:57" x14ac:dyDescent="0.3">
      <c r="B246" s="223" t="s">
        <v>351</v>
      </c>
      <c r="C246" s="223" t="s">
        <v>374</v>
      </c>
      <c r="D246" s="223" t="s">
        <v>94</v>
      </c>
      <c r="E246" s="223">
        <v>2010</v>
      </c>
      <c r="F246" s="224"/>
      <c r="G246" s="225"/>
      <c r="H246" s="226">
        <f ca="1">IF(AND(E246&gt;=2018,SUMIF('DADOS BASE'!$C$101:$D$104,D246,'DADOS BASE'!$H$101:$H$104)&gt;J246),
SUMIF('DADOS BASE'!$C$101:$D$104,D246,'DADOS BASE'!$H$101:$H$104),
J246)</f>
        <v>1624429.4276290329</v>
      </c>
      <c r="I246" s="225"/>
      <c r="J246" s="226">
        <f t="shared" si="146"/>
        <v>1624429.4276290329</v>
      </c>
      <c r="K246" s="226"/>
      <c r="L246" s="227">
        <v>1644.1982914982</v>
      </c>
      <c r="M246" s="226">
        <f t="shared" si="147"/>
        <v>1.2827273086384325E-3</v>
      </c>
      <c r="N246" s="226">
        <f>L246*'DADOS BASE'!$I$29</f>
        <v>1619101.4637554628</v>
      </c>
      <c r="O246" s="228"/>
      <c r="P246" s="227">
        <v>0</v>
      </c>
      <c r="Q246" s="226">
        <f>P246*'DADOS BASE'!$I$33</f>
        <v>0</v>
      </c>
      <c r="R246" s="226"/>
      <c r="S246" s="227">
        <v>6.7631872478278003</v>
      </c>
      <c r="T246" s="226">
        <f>S246*'DADOS BASE'!$I$37</f>
        <v>5327.9638735701774</v>
      </c>
      <c r="U246" s="226"/>
      <c r="V246" s="226">
        <f t="shared" si="148"/>
        <v>5327.9638735701774</v>
      </c>
      <c r="W246" s="228"/>
      <c r="X246" s="226"/>
      <c r="Y246" s="226"/>
      <c r="Z246" s="224"/>
      <c r="AA246" s="226"/>
      <c r="AB246" s="226"/>
      <c r="AC246" s="226"/>
      <c r="AD246" s="226"/>
      <c r="AE246" s="227">
        <v>1085</v>
      </c>
      <c r="AF246" s="227">
        <v>806.70574105818002</v>
      </c>
      <c r="AG246" s="226" t="s">
        <v>155</v>
      </c>
      <c r="AH246" s="229">
        <v>0.76800000000000002</v>
      </c>
      <c r="AI246" s="225">
        <f t="shared" si="149"/>
        <v>619.55000913268225</v>
      </c>
      <c r="AJ246" s="226">
        <f t="shared" si="150"/>
        <v>6.1603879462096618E-2</v>
      </c>
      <c r="AK246" s="226"/>
      <c r="AL246" s="226">
        <f t="shared" si="151"/>
        <v>168.60761256649818</v>
      </c>
      <c r="AM246" s="228">
        <f t="shared" si="152"/>
        <v>136016.72904350742</v>
      </c>
      <c r="AN246" s="226"/>
      <c r="AO246" s="227">
        <v>2.3235294117646998</v>
      </c>
      <c r="AP246" s="225"/>
      <c r="AQ246" s="226">
        <f t="shared" si="153"/>
        <v>1874.4045159881193</v>
      </c>
      <c r="AR246" s="226">
        <f t="shared" si="154"/>
        <v>1.9943469887391254E-3</v>
      </c>
      <c r="AS246" s="228">
        <f>AR246*'DADOS BASE'!W$38</f>
        <v>598253.77465531486</v>
      </c>
      <c r="AT246" s="225"/>
      <c r="AU246" s="227">
        <v>3.4562182953575</v>
      </c>
      <c r="AV246" s="227">
        <v>3.75</v>
      </c>
      <c r="AW246" s="226">
        <f t="shared" si="155"/>
        <v>0.86405457383937501</v>
      </c>
      <c r="AX246" s="226">
        <f>IF($AW$11&gt;0,(AW246/$AW$11)*'DADOS BASE'!W$40,0)</f>
        <v>155.250192998145</v>
      </c>
      <c r="AY246" s="226">
        <f t="shared" si="156"/>
        <v>2.0076562156856013</v>
      </c>
      <c r="AZ246" s="226">
        <f t="shared" si="157"/>
        <v>1.0500105345130573E-4</v>
      </c>
      <c r="BA246" s="226">
        <f>AZ246*'DADOS BASE'!W$41</f>
        <v>775.73242859740435</v>
      </c>
      <c r="BB246" s="225"/>
      <c r="BC246" s="227">
        <v>0</v>
      </c>
      <c r="BD246" s="226">
        <f>IF($BC$11&gt;0,(BC246/$BC$11)*'DADOS BASE'!W$39,0)</f>
        <v>0</v>
      </c>
      <c r="BE246" s="187"/>
    </row>
    <row r="247" spans="2:57" x14ac:dyDescent="0.3">
      <c r="B247" s="184" t="s">
        <v>351</v>
      </c>
      <c r="C247" s="184" t="s">
        <v>375</v>
      </c>
      <c r="D247" s="184" t="s">
        <v>92</v>
      </c>
      <c r="E247" s="184">
        <v>2009</v>
      </c>
      <c r="F247" s="185"/>
      <c r="H247" s="186">
        <f ca="1">IF(AND(E247&gt;=2018,SUMIF('DADOS BASE'!$C$101:$D$104,D247,'DADOS BASE'!$H$101:$H$104)&gt;J247),
SUMIF('DADOS BASE'!$C$101:$D$104,D247,'DADOS BASE'!$H$101:$H$104),
J247)</f>
        <v>4908911.783413724</v>
      </c>
      <c r="J247" s="186">
        <f t="shared" si="146"/>
        <v>4908911.783413724</v>
      </c>
      <c r="K247" s="186"/>
      <c r="L247" s="188">
        <v>4054.3627416845002</v>
      </c>
      <c r="M247" s="186">
        <f t="shared" si="147"/>
        <v>3.1630259165067306E-3</v>
      </c>
      <c r="N247" s="186">
        <f>L247*'DADOS BASE'!$I$29</f>
        <v>3992477.4789027763</v>
      </c>
      <c r="O247" s="187"/>
      <c r="P247" s="188">
        <v>134.81532147742999</v>
      </c>
      <c r="Q247" s="186">
        <f>P247*'DADOS BASE'!$I$33</f>
        <v>33189.379509370621</v>
      </c>
      <c r="R247" s="186"/>
      <c r="S247" s="188">
        <v>1121.1695415413001</v>
      </c>
      <c r="T247" s="186">
        <f>S247*'DADOS BASE'!$I$37</f>
        <v>883244.92500157666</v>
      </c>
      <c r="U247" s="186"/>
      <c r="V247" s="186">
        <f t="shared" si="148"/>
        <v>916434.30451094732</v>
      </c>
      <c r="W247" s="187"/>
      <c r="X247" s="186"/>
      <c r="Y247" s="186"/>
      <c r="Z247" s="185"/>
      <c r="AA247" s="186"/>
      <c r="AB247" s="186"/>
      <c r="AC247" s="186"/>
      <c r="AD247" s="186"/>
      <c r="AE247" s="188">
        <v>1967</v>
      </c>
      <c r="AF247" s="188">
        <v>1259.5774088897001</v>
      </c>
      <c r="AG247" s="186" t="s">
        <v>155</v>
      </c>
      <c r="AH247" s="189">
        <v>0.76800000000000002</v>
      </c>
      <c r="AI247" s="183">
        <f t="shared" si="149"/>
        <v>967.35545002728975</v>
      </c>
      <c r="AJ247" s="186">
        <f t="shared" si="150"/>
        <v>6.1603879462096618E-2</v>
      </c>
      <c r="AK247" s="186"/>
      <c r="AL247" s="186">
        <f t="shared" si="151"/>
        <v>168.60761256649818</v>
      </c>
      <c r="AM247" s="187">
        <f t="shared" si="152"/>
        <v>212374.33975558821</v>
      </c>
      <c r="AN247" s="186"/>
      <c r="AO247" s="188">
        <v>1.8549231843575</v>
      </c>
      <c r="AQ247" s="186">
        <f t="shared" si="153"/>
        <v>2336.4193382424514</v>
      </c>
      <c r="AR247" s="186">
        <f t="shared" si="154"/>
        <v>2.4859259737748242E-3</v>
      </c>
      <c r="AS247" s="187">
        <f>AR247*'DADOS BASE'!W$38</f>
        <v>745715.06649639294</v>
      </c>
      <c r="AU247" s="188">
        <v>298.97854441101998</v>
      </c>
      <c r="AV247" s="188">
        <v>415</v>
      </c>
      <c r="AW247" s="186">
        <f t="shared" si="155"/>
        <v>74.744636102754995</v>
      </c>
      <c r="AX247" s="186">
        <f>IF($AW$11&gt;0,(AW247/$AW$11)*'DADOS BASE'!W$40,0)</f>
        <v>13429.845211010939</v>
      </c>
      <c r="AY247" s="186">
        <f t="shared" si="156"/>
        <v>138.64555841336485</v>
      </c>
      <c r="AZ247" s="186">
        <f t="shared" si="157"/>
        <v>7.2512064446135348E-3</v>
      </c>
      <c r="BA247" s="186">
        <f>AZ247*'DADOS BASE'!W$41</f>
        <v>53570.85286910765</v>
      </c>
      <c r="BC247" s="188">
        <v>113</v>
      </c>
      <c r="BD247" s="186">
        <f>IF($BC$11&gt;0,(BC247/$BC$11)*'DADOS BASE'!W$39,0)</f>
        <v>610562.05341408076</v>
      </c>
      <c r="BE247" s="187"/>
    </row>
    <row r="248" spans="2:57" x14ac:dyDescent="0.3">
      <c r="B248" s="223" t="s">
        <v>351</v>
      </c>
      <c r="C248" s="223" t="s">
        <v>376</v>
      </c>
      <c r="D248" s="223" t="s">
        <v>94</v>
      </c>
      <c r="E248" s="223">
        <v>2009</v>
      </c>
      <c r="F248" s="224"/>
      <c r="G248" s="225"/>
      <c r="H248" s="226">
        <f ca="1">IF(AND(E248&gt;=2018,SUMIF('DADOS BASE'!$C$101:$D$104,D248,'DADOS BASE'!$H$101:$H$104)&gt;J248),
SUMIF('DADOS BASE'!$C$101:$D$104,D248,'DADOS BASE'!$H$101:$H$104),
J248)</f>
        <v>7630430.2115699612</v>
      </c>
      <c r="I248" s="225"/>
      <c r="J248" s="226">
        <f t="shared" si="146"/>
        <v>7630430.2115699612</v>
      </c>
      <c r="K248" s="226"/>
      <c r="L248" s="227">
        <v>7568.9178128413996</v>
      </c>
      <c r="M248" s="226">
        <f t="shared" si="147"/>
        <v>5.9049189052038176E-3</v>
      </c>
      <c r="N248" s="226">
        <f>L248*'DADOS BASE'!$I$29</f>
        <v>7453386.8409811091</v>
      </c>
      <c r="O248" s="228"/>
      <c r="P248" s="227">
        <v>624.48141027234999</v>
      </c>
      <c r="Q248" s="226">
        <f>P248*'DADOS BASE'!$I$33</f>
        <v>153737.35191920196</v>
      </c>
      <c r="R248" s="226"/>
      <c r="S248" s="227">
        <v>29.584091034497</v>
      </c>
      <c r="T248" s="226">
        <f>S248*'DADOS BASE'!$I$37</f>
        <v>23306.018669649686</v>
      </c>
      <c r="U248" s="226"/>
      <c r="V248" s="226">
        <f t="shared" si="148"/>
        <v>177043.37058885166</v>
      </c>
      <c r="W248" s="228"/>
      <c r="X248" s="226"/>
      <c r="Y248" s="226"/>
      <c r="Z248" s="224"/>
      <c r="AA248" s="226"/>
      <c r="AB248" s="226"/>
      <c r="AC248" s="226"/>
      <c r="AD248" s="226"/>
      <c r="AE248" s="227">
        <v>4308</v>
      </c>
      <c r="AF248" s="227">
        <v>3232.3335886151999</v>
      </c>
      <c r="AG248" s="226" t="s">
        <v>155</v>
      </c>
      <c r="AH248" s="229">
        <v>0.76800000000000002</v>
      </c>
      <c r="AI248" s="225">
        <f t="shared" si="149"/>
        <v>2482.4321960564735</v>
      </c>
      <c r="AJ248" s="226">
        <f t="shared" si="150"/>
        <v>6.1603879462096618E-2</v>
      </c>
      <c r="AK248" s="226"/>
      <c r="AL248" s="226">
        <f t="shared" si="151"/>
        <v>168.60761256649818</v>
      </c>
      <c r="AM248" s="228">
        <f t="shared" si="152"/>
        <v>544996.04939491034</v>
      </c>
      <c r="AN248" s="226"/>
      <c r="AO248" s="227">
        <v>2.1835062807208998</v>
      </c>
      <c r="AP248" s="225"/>
      <c r="AQ248" s="226">
        <f t="shared" si="153"/>
        <v>7057.8206921264145</v>
      </c>
      <c r="AR248" s="226">
        <f t="shared" si="154"/>
        <v>7.5094481070340224E-3</v>
      </c>
      <c r="AS248" s="228">
        <f>AR248*'DADOS BASE'!W$38</f>
        <v>2252644.9514442901</v>
      </c>
      <c r="AT248" s="225"/>
      <c r="AU248" s="227">
        <v>7.9620261112715003</v>
      </c>
      <c r="AV248" s="227">
        <v>131.5</v>
      </c>
      <c r="AW248" s="226">
        <f t="shared" si="155"/>
        <v>1.9905065278178751</v>
      </c>
      <c r="AX248" s="226">
        <f>IF($AW$11&gt;0,(AW248/$AW$11)*'DADOS BASE'!W$40,0)</f>
        <v>357.64699587741507</v>
      </c>
      <c r="AY248" s="226">
        <f t="shared" si="156"/>
        <v>4.3462835053062809</v>
      </c>
      <c r="AZ248" s="226">
        <f t="shared" si="157"/>
        <v>2.2731199848343946E-4</v>
      </c>
      <c r="BA248" s="226">
        <f>AZ248*'DADOS BASE'!W$41</f>
        <v>1679.3478049690484</v>
      </c>
      <c r="BB248" s="225"/>
      <c r="BC248" s="227">
        <v>0</v>
      </c>
      <c r="BD248" s="226">
        <f>IF($BC$11&gt;0,(BC248/$BC$11)*'DADOS BASE'!W$39,0)</f>
        <v>0</v>
      </c>
      <c r="BE248" s="187"/>
    </row>
    <row r="249" spans="2:57" x14ac:dyDescent="0.3">
      <c r="B249" s="184" t="s">
        <v>351</v>
      </c>
      <c r="C249" s="184" t="s">
        <v>377</v>
      </c>
      <c r="D249" s="184" t="s">
        <v>92</v>
      </c>
      <c r="E249" s="184">
        <v>2010</v>
      </c>
      <c r="F249" s="185"/>
      <c r="H249" s="186">
        <f ca="1">IF(AND(E249&gt;=2018,SUMIF('DADOS BASE'!$C$101:$D$104,D249,'DADOS BASE'!$H$101:$H$104)&gt;J249),
SUMIF('DADOS BASE'!$C$101:$D$104,D249,'DADOS BASE'!$H$101:$H$104),
J249)</f>
        <v>3044819.0765365581</v>
      </c>
      <c r="J249" s="186">
        <f t="shared" si="146"/>
        <v>3044819.0765365581</v>
      </c>
      <c r="K249" s="186"/>
      <c r="L249" s="188">
        <v>2706.8753908878002</v>
      </c>
      <c r="M249" s="186">
        <f t="shared" si="147"/>
        <v>2.111778733092616E-3</v>
      </c>
      <c r="N249" s="186">
        <f>L249*'DADOS BASE'!$I$29</f>
        <v>2665557.9988448587</v>
      </c>
      <c r="O249" s="187"/>
      <c r="P249" s="188">
        <v>0</v>
      </c>
      <c r="Q249" s="186">
        <f>P249*'DADOS BASE'!$I$33</f>
        <v>0</v>
      </c>
      <c r="R249" s="186"/>
      <c r="S249" s="188">
        <v>481.42475157646999</v>
      </c>
      <c r="T249" s="186">
        <f>S249*'DADOS BASE'!$I$37</f>
        <v>379261.07769169932</v>
      </c>
      <c r="U249" s="186"/>
      <c r="V249" s="186">
        <f t="shared" si="148"/>
        <v>379261.07769169932</v>
      </c>
      <c r="W249" s="187"/>
      <c r="X249" s="186"/>
      <c r="Y249" s="186"/>
      <c r="Z249" s="185"/>
      <c r="AA249" s="186"/>
      <c r="AB249" s="186"/>
      <c r="AC249" s="186"/>
      <c r="AD249" s="186"/>
      <c r="AE249" s="188">
        <v>1163</v>
      </c>
      <c r="AF249" s="188">
        <v>875.61167951702998</v>
      </c>
      <c r="AG249" s="186" t="s">
        <v>155</v>
      </c>
      <c r="AH249" s="189">
        <v>0.61</v>
      </c>
      <c r="AI249" s="183">
        <f t="shared" si="149"/>
        <v>534.12312450538832</v>
      </c>
      <c r="AJ249" s="186">
        <f t="shared" si="150"/>
        <v>-0.15150558250451185</v>
      </c>
      <c r="AK249" s="186"/>
      <c r="AL249" s="186">
        <f t="shared" si="151"/>
        <v>206.89834801511032</v>
      </c>
      <c r="AM249" s="187">
        <f t="shared" si="152"/>
        <v>181162.6099948097</v>
      </c>
      <c r="AN249" s="186"/>
      <c r="AO249" s="188">
        <v>1.7150449713817999</v>
      </c>
      <c r="AQ249" s="186">
        <f t="shared" si="153"/>
        <v>1501.7134078388544</v>
      </c>
      <c r="AR249" s="186">
        <f t="shared" si="154"/>
        <v>1.5978075102394667E-3</v>
      </c>
      <c r="AS249" s="187">
        <f>AR249*'DADOS BASE'!W$38</f>
        <v>479301.93670947466</v>
      </c>
      <c r="AU249" s="188">
        <v>240.71237578824</v>
      </c>
      <c r="AV249" s="188">
        <v>416.75</v>
      </c>
      <c r="AW249" s="186">
        <f t="shared" si="155"/>
        <v>60.178093947059999</v>
      </c>
      <c r="AX249" s="186">
        <f>IF($AW$11&gt;0,(AW249/$AW$11)*'DADOS BASE'!W$40,0)</f>
        <v>10812.581730836757</v>
      </c>
      <c r="AY249" s="186">
        <f t="shared" si="156"/>
        <v>103.20813741124678</v>
      </c>
      <c r="AZ249" s="186">
        <f t="shared" si="157"/>
        <v>5.3978181464834499E-3</v>
      </c>
      <c r="BA249" s="186">
        <f>AZ249*'DADOS BASE'!W$41</f>
        <v>39878.291143436865</v>
      </c>
      <c r="BC249" s="188">
        <v>75</v>
      </c>
      <c r="BD249" s="186">
        <f>IF($BC$11&gt;0,(BC249/$BC$11)*'DADOS BASE'!W$39,0)</f>
        <v>405240.3009385491</v>
      </c>
      <c r="BE249" s="187"/>
    </row>
    <row r="250" spans="2:57" x14ac:dyDescent="0.3">
      <c r="B250" s="223" t="s">
        <v>351</v>
      </c>
      <c r="C250" s="223" t="s">
        <v>378</v>
      </c>
      <c r="D250" s="223" t="s">
        <v>94</v>
      </c>
      <c r="E250" s="223">
        <v>2010</v>
      </c>
      <c r="F250" s="224"/>
      <c r="G250" s="225"/>
      <c r="H250" s="226">
        <f ca="1">IF(AND(E250&gt;=2018,SUMIF('DADOS BASE'!$C$101:$D$104,D250,'DADOS BASE'!$H$101:$H$104)&gt;J250),
SUMIF('DADOS BASE'!$C$101:$D$104,D250,'DADOS BASE'!$H$101:$H$104),
J250)</f>
        <v>2143483.0309757576</v>
      </c>
      <c r="I250" s="225"/>
      <c r="J250" s="226">
        <f t="shared" si="146"/>
        <v>2143483.0309757576</v>
      </c>
      <c r="K250" s="226"/>
      <c r="L250" s="227">
        <v>2176.7080175514002</v>
      </c>
      <c r="M250" s="226">
        <f t="shared" si="147"/>
        <v>1.698166718383591E-3</v>
      </c>
      <c r="N250" s="226">
        <f>L250*'DADOS BASE'!$I$29</f>
        <v>2143483.0309757576</v>
      </c>
      <c r="O250" s="228"/>
      <c r="P250" s="227">
        <v>0</v>
      </c>
      <c r="Q250" s="226">
        <f>P250*'DADOS BASE'!$I$33</f>
        <v>0</v>
      </c>
      <c r="R250" s="226"/>
      <c r="S250" s="227">
        <v>0</v>
      </c>
      <c r="T250" s="226">
        <f>S250*'DADOS BASE'!$I$37</f>
        <v>0</v>
      </c>
      <c r="U250" s="226"/>
      <c r="V250" s="226">
        <f t="shared" si="148"/>
        <v>0</v>
      </c>
      <c r="W250" s="228"/>
      <c r="X250" s="226"/>
      <c r="Y250" s="226"/>
      <c r="Z250" s="224"/>
      <c r="AA250" s="226"/>
      <c r="AB250" s="226"/>
      <c r="AC250" s="226"/>
      <c r="AD250" s="226"/>
      <c r="AE250" s="227">
        <v>1159</v>
      </c>
      <c r="AF250" s="227">
        <v>984.43897171462004</v>
      </c>
      <c r="AG250" s="226" t="s">
        <v>155</v>
      </c>
      <c r="AH250" s="229">
        <v>0.64900000000000002</v>
      </c>
      <c r="AI250" s="225">
        <f t="shared" si="149"/>
        <v>638.90089264278845</v>
      </c>
      <c r="AJ250" s="226">
        <f t="shared" si="150"/>
        <v>-9.8902614044399581E-2</v>
      </c>
      <c r="AK250" s="226"/>
      <c r="AL250" s="226">
        <f t="shared" si="151"/>
        <v>197.44683736640224</v>
      </c>
      <c r="AM250" s="228">
        <f t="shared" si="152"/>
        <v>194374.36154528483</v>
      </c>
      <c r="AN250" s="226"/>
      <c r="AO250" s="227">
        <v>2.3054393305439</v>
      </c>
      <c r="AP250" s="225"/>
      <c r="AQ250" s="226">
        <f t="shared" si="153"/>
        <v>2269.5643239110791</v>
      </c>
      <c r="AR250" s="226">
        <f t="shared" si="154"/>
        <v>2.4147929310529355E-3</v>
      </c>
      <c r="AS250" s="228">
        <f>AR250*'DADOS BASE'!W$38</f>
        <v>724376.94853027491</v>
      </c>
      <c r="AT250" s="225"/>
      <c r="AU250" s="227">
        <v>0</v>
      </c>
      <c r="AV250" s="227">
        <v>0</v>
      </c>
      <c r="AW250" s="226">
        <f t="shared" si="155"/>
        <v>0</v>
      </c>
      <c r="AX250" s="226">
        <f>IF($AW$11&gt;0,(AW250/$AW$11)*'DADOS BASE'!W$40,0)</f>
        <v>0</v>
      </c>
      <c r="AY250" s="226">
        <f t="shared" si="156"/>
        <v>0</v>
      </c>
      <c r="AZ250" s="226">
        <f t="shared" si="157"/>
        <v>0</v>
      </c>
      <c r="BA250" s="226">
        <f>AZ250*'DADOS BASE'!W$41</f>
        <v>0</v>
      </c>
      <c r="BB250" s="225"/>
      <c r="BC250" s="227">
        <v>0</v>
      </c>
      <c r="BD250" s="226">
        <f>IF($BC$11&gt;0,(BC250/$BC$11)*'DADOS BASE'!W$39,0)</f>
        <v>0</v>
      </c>
      <c r="BE250" s="187"/>
    </row>
    <row r="251" spans="2:57" x14ac:dyDescent="0.3">
      <c r="B251" s="184" t="s">
        <v>351</v>
      </c>
      <c r="C251" s="184" t="s">
        <v>379</v>
      </c>
      <c r="D251" s="184" t="s">
        <v>94</v>
      </c>
      <c r="E251" s="184">
        <v>2015</v>
      </c>
      <c r="F251" s="185"/>
      <c r="H251" s="186">
        <f ca="1">IF(AND(E251&gt;=2018,SUMIF('DADOS BASE'!$C$101:$D$104,D251,'DADOS BASE'!$H$101:$H$104)&gt;J251),
SUMIF('DADOS BASE'!$C$101:$D$104,D251,'DADOS BASE'!$H$101:$H$104),
J251)</f>
        <v>614033.98469057435</v>
      </c>
      <c r="J251" s="186">
        <f t="shared" si="146"/>
        <v>614033.98469057435</v>
      </c>
      <c r="K251" s="186"/>
      <c r="L251" s="188">
        <v>623.55179780292997</v>
      </c>
      <c r="M251" s="186">
        <f t="shared" si="147"/>
        <v>4.8646621488919364E-4</v>
      </c>
      <c r="N251" s="186">
        <f>L251*'DADOS BASE'!$I$29</f>
        <v>614033.98469057435</v>
      </c>
      <c r="O251" s="187"/>
      <c r="P251" s="188">
        <v>0</v>
      </c>
      <c r="Q251" s="186">
        <f>P251*'DADOS BASE'!$I$33</f>
        <v>0</v>
      </c>
      <c r="R251" s="186"/>
      <c r="S251" s="188">
        <v>0</v>
      </c>
      <c r="T251" s="186">
        <f>S251*'DADOS BASE'!$I$37</f>
        <v>0</v>
      </c>
      <c r="U251" s="186"/>
      <c r="V251" s="186">
        <f t="shared" si="148"/>
        <v>0</v>
      </c>
      <c r="W251" s="187"/>
      <c r="X251" s="186"/>
      <c r="Y251" s="186"/>
      <c r="Z251" s="185"/>
      <c r="AA251" s="186"/>
      <c r="AB251" s="186"/>
      <c r="AC251" s="186"/>
      <c r="AD251" s="186"/>
      <c r="AE251" s="188">
        <v>198</v>
      </c>
      <c r="AF251" s="188">
        <v>262.70482408938</v>
      </c>
      <c r="AG251" s="186" t="s">
        <v>155</v>
      </c>
      <c r="AH251" s="189">
        <v>0.61799999999999999</v>
      </c>
      <c r="AI251" s="183">
        <f t="shared" si="149"/>
        <v>162.35158128723683</v>
      </c>
      <c r="AJ251" s="186">
        <f t="shared" si="150"/>
        <v>-0.14071522999987343</v>
      </c>
      <c r="AK251" s="186"/>
      <c r="AL251" s="186">
        <f t="shared" si="151"/>
        <v>204.95957659999073</v>
      </c>
      <c r="AM251" s="187">
        <f t="shared" si="152"/>
        <v>53843.869516134371</v>
      </c>
      <c r="AN251" s="186"/>
      <c r="AO251" s="188">
        <v>1.8222222222222</v>
      </c>
      <c r="AQ251" s="186">
        <f t="shared" si="153"/>
        <v>478.70656834064215</v>
      </c>
      <c r="AR251" s="186">
        <f t="shared" si="154"/>
        <v>5.0933882996782713E-4</v>
      </c>
      <c r="AS251" s="187">
        <f>AR251*'DADOS BASE'!W$38</f>
        <v>152788.79719893765</v>
      </c>
      <c r="AU251" s="188">
        <v>0</v>
      </c>
      <c r="AV251" s="188">
        <v>0</v>
      </c>
      <c r="AW251" s="186">
        <f t="shared" si="155"/>
        <v>0</v>
      </c>
      <c r="AX251" s="186">
        <f>IF($AW$11&gt;0,(AW251/$AW$11)*'DADOS BASE'!W$40,0)</f>
        <v>0</v>
      </c>
      <c r="AY251" s="186">
        <f t="shared" si="156"/>
        <v>0</v>
      </c>
      <c r="AZ251" s="186">
        <f t="shared" si="157"/>
        <v>0</v>
      </c>
      <c r="BA251" s="186">
        <f>AZ251*'DADOS BASE'!W$41</f>
        <v>0</v>
      </c>
      <c r="BC251" s="188">
        <v>0</v>
      </c>
      <c r="BD251" s="186">
        <f>IF($BC$11&gt;0,(BC251/$BC$11)*'DADOS BASE'!W$39,0)</f>
        <v>0</v>
      </c>
      <c r="BE251" s="187"/>
    </row>
    <row r="252" spans="2:57" x14ac:dyDescent="0.3">
      <c r="B252" s="223" t="s">
        <v>351</v>
      </c>
      <c r="C252" s="223" t="s">
        <v>380</v>
      </c>
      <c r="D252" s="223" t="s">
        <v>94</v>
      </c>
      <c r="E252" s="223">
        <v>2010</v>
      </c>
      <c r="F252" s="224"/>
      <c r="G252" s="225"/>
      <c r="H252" s="226">
        <f ca="1">IF(AND(E252&gt;=2018,SUMIF('DADOS BASE'!$C$101:$D$104,D252,'DADOS BASE'!$H$101:$H$104)&gt;J252),
SUMIF('DADOS BASE'!$C$101:$D$104,D252,'DADOS BASE'!$H$101:$H$104),
J252)</f>
        <v>1824073.6266860717</v>
      </c>
      <c r="I252" s="225"/>
      <c r="J252" s="226">
        <f t="shared" si="146"/>
        <v>1824073.6266860717</v>
      </c>
      <c r="K252" s="226"/>
      <c r="L252" s="227">
        <v>1852.3476185413001</v>
      </c>
      <c r="M252" s="226">
        <f t="shared" si="147"/>
        <v>1.4451157671677296E-3</v>
      </c>
      <c r="N252" s="226">
        <f>L252*'DADOS BASE'!$I$29</f>
        <v>1824073.6266860717</v>
      </c>
      <c r="O252" s="228"/>
      <c r="P252" s="227">
        <v>0</v>
      </c>
      <c r="Q252" s="226">
        <f>P252*'DADOS BASE'!$I$33</f>
        <v>0</v>
      </c>
      <c r="R252" s="226"/>
      <c r="S252" s="227">
        <v>0</v>
      </c>
      <c r="T252" s="226">
        <f>S252*'DADOS BASE'!$I$37</f>
        <v>0</v>
      </c>
      <c r="U252" s="226"/>
      <c r="V252" s="226">
        <f t="shared" si="148"/>
        <v>0</v>
      </c>
      <c r="W252" s="228"/>
      <c r="X252" s="226"/>
      <c r="Y252" s="226"/>
      <c r="Z252" s="224"/>
      <c r="AA252" s="226"/>
      <c r="AB252" s="226"/>
      <c r="AC252" s="226"/>
      <c r="AD252" s="226"/>
      <c r="AE252" s="227">
        <v>1072</v>
      </c>
      <c r="AF252" s="227">
        <v>757.16658842110996</v>
      </c>
      <c r="AG252" s="226" t="s">
        <v>155</v>
      </c>
      <c r="AH252" s="229">
        <v>0.59499999999999997</v>
      </c>
      <c r="AI252" s="225">
        <f t="shared" si="149"/>
        <v>450.51412011056038</v>
      </c>
      <c r="AJ252" s="226">
        <f t="shared" si="150"/>
        <v>-0.17173749345070885</v>
      </c>
      <c r="AK252" s="226"/>
      <c r="AL252" s="226">
        <f t="shared" si="151"/>
        <v>210.53354441845957</v>
      </c>
      <c r="AM252" s="228">
        <f t="shared" si="152"/>
        <v>159408.96557552926</v>
      </c>
      <c r="AN252" s="226"/>
      <c r="AO252" s="227">
        <v>1.7488188976378001</v>
      </c>
      <c r="AP252" s="225"/>
      <c r="AQ252" s="226">
        <f t="shared" si="153"/>
        <v>1324.1472384907795</v>
      </c>
      <c r="AR252" s="226">
        <f t="shared" si="154"/>
        <v>1.4088789453962525E-3</v>
      </c>
      <c r="AS252" s="228">
        <f>AR252*'DADOS BASE'!W$38</f>
        <v>422628.13435920118</v>
      </c>
      <c r="AT252" s="225"/>
      <c r="AU252" s="227">
        <v>0</v>
      </c>
      <c r="AV252" s="227">
        <v>0</v>
      </c>
      <c r="AW252" s="226">
        <f t="shared" si="155"/>
        <v>0</v>
      </c>
      <c r="AX252" s="226">
        <f>IF($AW$11&gt;0,(AW252/$AW$11)*'DADOS BASE'!W$40,0)</f>
        <v>0</v>
      </c>
      <c r="AY252" s="226">
        <f t="shared" si="156"/>
        <v>0</v>
      </c>
      <c r="AZ252" s="226">
        <f t="shared" si="157"/>
        <v>0</v>
      </c>
      <c r="BA252" s="226">
        <f>AZ252*'DADOS BASE'!W$41</f>
        <v>0</v>
      </c>
      <c r="BB252" s="225"/>
      <c r="BC252" s="227">
        <v>0</v>
      </c>
      <c r="BD252" s="226">
        <f>IF($BC$11&gt;0,(BC252/$BC$11)*'DADOS BASE'!W$39,0)</f>
        <v>0</v>
      </c>
      <c r="BE252" s="187"/>
    </row>
    <row r="253" spans="2:57" x14ac:dyDescent="0.3">
      <c r="B253" s="184" t="s">
        <v>351</v>
      </c>
      <c r="C253" s="184" t="s">
        <v>381</v>
      </c>
      <c r="D253" s="184" t="s">
        <v>209</v>
      </c>
      <c r="E253" s="184">
        <v>0</v>
      </c>
      <c r="F253" s="185"/>
      <c r="H253" s="186">
        <f ca="1">IF(AND(E253&gt;=2018,SUMIF('DADOS BASE'!$C$101:$D$104,D253,'DADOS BASE'!$H$101:$H$104)&gt;J253),
SUMIF('DADOS BASE'!$C$101:$D$104,D253,'DADOS BASE'!$H$101:$H$104),
J253)</f>
        <v>0</v>
      </c>
      <c r="J253" s="186">
        <f t="shared" si="146"/>
        <v>0</v>
      </c>
      <c r="K253" s="186"/>
      <c r="L253" s="188">
        <v>0</v>
      </c>
      <c r="M253" s="186">
        <f t="shared" si="147"/>
        <v>0</v>
      </c>
      <c r="N253" s="186">
        <f>L253*'DADOS BASE'!$I$29</f>
        <v>0</v>
      </c>
      <c r="O253" s="187"/>
      <c r="P253" s="188">
        <v>0</v>
      </c>
      <c r="Q253" s="186">
        <f>P253*'DADOS BASE'!$I$33</f>
        <v>0</v>
      </c>
      <c r="R253" s="186"/>
      <c r="S253" s="188">
        <v>0</v>
      </c>
      <c r="T253" s="186">
        <f>S253*'DADOS BASE'!$I$37</f>
        <v>0</v>
      </c>
      <c r="U253" s="186"/>
      <c r="V253" s="186">
        <f t="shared" si="148"/>
        <v>0</v>
      </c>
      <c r="W253" s="187"/>
      <c r="X253" s="186"/>
      <c r="Y253" s="186"/>
      <c r="Z253" s="185"/>
      <c r="AA253" s="186"/>
      <c r="AB253" s="186"/>
      <c r="AC253" s="186"/>
      <c r="AD253" s="186"/>
      <c r="AE253" s="188">
        <v>0</v>
      </c>
      <c r="AF253" s="188">
        <v>0</v>
      </c>
      <c r="AG253" s="186" t="s">
        <v>155</v>
      </c>
      <c r="AH253" s="189">
        <v>0.76800000000000002</v>
      </c>
      <c r="AI253" s="183">
        <f t="shared" si="149"/>
        <v>0</v>
      </c>
      <c r="AJ253" s="186">
        <f t="shared" si="150"/>
        <v>6.1603879462096618E-2</v>
      </c>
      <c r="AK253" s="186"/>
      <c r="AL253" s="186">
        <f t="shared" si="151"/>
        <v>168.60761256649818</v>
      </c>
      <c r="AM253" s="187">
        <f t="shared" si="152"/>
        <v>0</v>
      </c>
      <c r="AN253" s="186"/>
      <c r="AO253" s="188">
        <v>0</v>
      </c>
      <c r="AQ253" s="186">
        <f t="shared" si="153"/>
        <v>0</v>
      </c>
      <c r="AR253" s="186">
        <f t="shared" si="154"/>
        <v>0</v>
      </c>
      <c r="AS253" s="187">
        <f>AR253*'DADOS BASE'!W$38</f>
        <v>0</v>
      </c>
      <c r="AU253" s="188">
        <v>0</v>
      </c>
      <c r="AV253" s="188">
        <v>0</v>
      </c>
      <c r="AW253" s="186">
        <f t="shared" si="155"/>
        <v>0</v>
      </c>
      <c r="AX253" s="186">
        <f>IF($AW$11&gt;0,(AW253/$AW$11)*'DADOS BASE'!W$40,0)</f>
        <v>0</v>
      </c>
      <c r="AY253" s="186">
        <f t="shared" si="156"/>
        <v>0</v>
      </c>
      <c r="AZ253" s="186">
        <f t="shared" si="157"/>
        <v>0</v>
      </c>
      <c r="BA253" s="186">
        <f>AZ253*'DADOS BASE'!W$41</f>
        <v>0</v>
      </c>
      <c r="BC253" s="188">
        <v>0</v>
      </c>
      <c r="BD253" s="186">
        <f>IF($BC$11&gt;0,(BC253/$BC$11)*'DADOS BASE'!W$39,0)</f>
        <v>0</v>
      </c>
      <c r="BE253" s="187"/>
    </row>
    <row r="254" spans="2:57" x14ac:dyDescent="0.3">
      <c r="F254" s="185"/>
      <c r="H254" s="186"/>
      <c r="J254" s="186"/>
      <c r="K254" s="186"/>
      <c r="L254" s="186"/>
      <c r="M254" s="186"/>
      <c r="N254" s="186"/>
      <c r="O254" s="187"/>
      <c r="P254" s="186"/>
      <c r="Q254" s="186"/>
      <c r="R254" s="186"/>
      <c r="S254" s="186"/>
      <c r="T254" s="186"/>
      <c r="U254" s="186"/>
      <c r="V254" s="186"/>
      <c r="W254" s="187"/>
      <c r="X254" s="186"/>
      <c r="Y254" s="186"/>
      <c r="Z254" s="185"/>
      <c r="AA254" s="186"/>
      <c r="AB254" s="186"/>
      <c r="AC254" s="186"/>
      <c r="AD254" s="186"/>
      <c r="AE254" s="186"/>
      <c r="AF254" s="186"/>
      <c r="AG254" s="186"/>
      <c r="AH254" s="185"/>
      <c r="AJ254" s="186"/>
      <c r="AK254" s="186"/>
      <c r="AL254" s="186"/>
      <c r="AM254" s="187"/>
      <c r="AN254" s="186"/>
      <c r="AO254" s="186"/>
      <c r="AQ254" s="186"/>
      <c r="AR254" s="186"/>
      <c r="AS254" s="187"/>
      <c r="AU254" s="186"/>
      <c r="AV254" s="186"/>
      <c r="AW254" s="186"/>
      <c r="AX254" s="186"/>
      <c r="AY254" s="186"/>
      <c r="AZ254" s="186"/>
      <c r="BA254" s="186"/>
      <c r="BC254" s="186"/>
      <c r="BD254" s="186"/>
      <c r="BE254" s="187"/>
    </row>
    <row r="255" spans="2:57" x14ac:dyDescent="0.3">
      <c r="B255" s="209" t="s">
        <v>382</v>
      </c>
      <c r="C255" s="209" t="s">
        <v>383</v>
      </c>
      <c r="D255" s="211" t="s">
        <v>154</v>
      </c>
      <c r="E255" s="211"/>
      <c r="F255" s="210"/>
      <c r="G255" s="211"/>
      <c r="H255" s="212">
        <f ca="1">SUM(H256:H265)</f>
        <v>24885154.17727033</v>
      </c>
      <c r="I255" s="211"/>
      <c r="J255" s="212">
        <f>SUM(J256:J265)</f>
        <v>24885154.17727033</v>
      </c>
      <c r="K255" s="212"/>
      <c r="L255" s="212">
        <f>SUM(L256:L265)</f>
        <v>25189.367774558472</v>
      </c>
      <c r="M255" s="212">
        <f>SUM(M256:M265)</f>
        <v>1.9651577366815685E-2</v>
      </c>
      <c r="N255" s="212">
        <f>SUM(N256:N265)</f>
        <v>24804880.558353841</v>
      </c>
      <c r="O255" s="214"/>
      <c r="P255" s="212">
        <f>SUM(P256:P265)</f>
        <v>0</v>
      </c>
      <c r="Q255" s="212">
        <f>SUM(Q256:Q265)</f>
        <v>0</v>
      </c>
      <c r="R255" s="212"/>
      <c r="S255" s="212">
        <f>SUM(S256:S265)</f>
        <v>101.89737180578899</v>
      </c>
      <c r="T255" s="212">
        <f>SUM(T256:T265)</f>
        <v>80273.618916489766</v>
      </c>
      <c r="U255" s="212"/>
      <c r="V255" s="212">
        <f>SUM(V256:V265)</f>
        <v>80273.618916489766</v>
      </c>
      <c r="W255" s="214"/>
      <c r="X255" s="212">
        <f>SUMIF(INDICADORES!$D$13:$D$53,C255,INDICADORES!$L$13:$L$53)</f>
        <v>5.3898934898180678E-2</v>
      </c>
      <c r="Y255" s="212">
        <f>X255*'DADOS BASE'!$I$79</f>
        <v>2238057.1446752264</v>
      </c>
      <c r="Z255" s="210">
        <f>SUMIF(INDICADORES!$D$13:$D$53,C255,INDICADORES!$R$13:$R$53)</f>
        <v>1.0843028253768124E-2</v>
      </c>
      <c r="AA255" s="212">
        <f>Z255*'DADOS BASE'!$I$84</f>
        <v>450237.41005465068</v>
      </c>
      <c r="AB255" s="212">
        <f>SUMIF(INDICADORES!$D$13:$D$53,C255,INDICADORES!$Z$13:$Z$53)</f>
        <v>1.9012976291256437E-2</v>
      </c>
      <c r="AC255" s="212">
        <f>AB255*'DADOS BASE'!$I$89</f>
        <v>1578959.8629572727</v>
      </c>
      <c r="AD255" s="212"/>
      <c r="AE255" s="212">
        <f>SUM(AE256:AE265)</f>
        <v>15457</v>
      </c>
      <c r="AF255" s="212">
        <f>SUM(AF256:AF265)</f>
        <v>10939.889020502</v>
      </c>
      <c r="AG255" s="212" t="s">
        <v>155</v>
      </c>
      <c r="AH255" s="210"/>
      <c r="AI255" s="211"/>
      <c r="AJ255" s="212"/>
      <c r="AK255" s="212"/>
      <c r="AL255" s="212"/>
      <c r="AM255" s="214">
        <f>SUM(AM256:AM265)</f>
        <v>1815773.0292653299</v>
      </c>
      <c r="AN255" s="212"/>
      <c r="AO255" s="212"/>
      <c r="AP255" s="211"/>
      <c r="AQ255" s="212">
        <f>SUM(AQ256:AQ265)</f>
        <v>17683.660538961405</v>
      </c>
      <c r="AR255" s="212"/>
      <c r="AS255" s="214">
        <f>SUM(AS256:AS265)</f>
        <v>5644094.7388455588</v>
      </c>
      <c r="AT255" s="211"/>
      <c r="AU255" s="212">
        <f t="shared" ref="AU255:BA255" si="158">SUM(AU256:AU265)</f>
        <v>51.949548434259597</v>
      </c>
      <c r="AV255" s="212">
        <f t="shared" si="158"/>
        <v>68.5</v>
      </c>
      <c r="AW255" s="212">
        <f t="shared" si="158"/>
        <v>12.987387108564899</v>
      </c>
      <c r="AX255" s="212">
        <f t="shared" si="158"/>
        <v>2333.5266268969995</v>
      </c>
      <c r="AY255" s="212">
        <f t="shared" si="158"/>
        <v>19.500633934572058</v>
      </c>
      <c r="AZ255" s="212">
        <f t="shared" si="158"/>
        <v>1.0198893067950429E-3</v>
      </c>
      <c r="BA255" s="212">
        <f t="shared" si="158"/>
        <v>7534.7930602195638</v>
      </c>
      <c r="BB255" s="211"/>
      <c r="BC255" s="212">
        <f>SUM(BC256:BC265)</f>
        <v>0</v>
      </c>
      <c r="BD255" s="212">
        <f>SUM(BD256:BD265)</f>
        <v>0</v>
      </c>
      <c r="BE255" s="187"/>
    </row>
    <row r="256" spans="2:57" x14ac:dyDescent="0.3">
      <c r="B256" s="216" t="s">
        <v>382</v>
      </c>
      <c r="C256" s="218" t="s">
        <v>156</v>
      </c>
      <c r="D256" s="218" t="s">
        <v>157</v>
      </c>
      <c r="E256" s="218"/>
      <c r="F256" s="217"/>
      <c r="G256" s="218"/>
      <c r="H256" s="219"/>
      <c r="I256" s="218"/>
      <c r="J256" s="219"/>
      <c r="K256" s="219"/>
      <c r="L256" s="219">
        <v>0</v>
      </c>
      <c r="M256" s="219">
        <v>0</v>
      </c>
      <c r="N256" s="219">
        <v>0</v>
      </c>
      <c r="O256" s="221"/>
      <c r="P256" s="219"/>
      <c r="Q256" s="219"/>
      <c r="R256" s="219"/>
      <c r="S256" s="219"/>
      <c r="T256" s="219"/>
      <c r="U256" s="219"/>
      <c r="V256" s="219"/>
      <c r="W256" s="221"/>
      <c r="X256" s="219"/>
      <c r="Y256" s="219"/>
      <c r="Z256" s="217"/>
      <c r="AA256" s="219"/>
      <c r="AB256" s="219"/>
      <c r="AC256" s="219"/>
      <c r="AD256" s="219"/>
      <c r="AE256" s="219"/>
      <c r="AF256" s="219"/>
      <c r="AG256" s="219" t="s">
        <v>155</v>
      </c>
      <c r="AH256" s="217"/>
      <c r="AI256" s="218"/>
      <c r="AJ256" s="219"/>
      <c r="AK256" s="219"/>
      <c r="AL256" s="219"/>
      <c r="AM256" s="221"/>
      <c r="AN256" s="219"/>
      <c r="AO256" s="219"/>
      <c r="AP256" s="218"/>
      <c r="AQ256" s="219"/>
      <c r="AR256" s="219"/>
      <c r="AS256" s="221"/>
      <c r="AT256" s="218"/>
      <c r="AU256" s="219"/>
      <c r="AV256" s="219"/>
      <c r="AW256" s="219"/>
      <c r="AX256" s="219"/>
      <c r="AY256" s="219"/>
      <c r="AZ256" s="219"/>
      <c r="BA256" s="219"/>
      <c r="BB256" s="218"/>
      <c r="BC256" s="219"/>
      <c r="BD256" s="219"/>
      <c r="BE256" s="187"/>
    </row>
    <row r="257" spans="2:57" x14ac:dyDescent="0.3">
      <c r="B257" s="184" t="s">
        <v>382</v>
      </c>
      <c r="C257" s="184" t="s">
        <v>384</v>
      </c>
      <c r="D257" s="184" t="s">
        <v>94</v>
      </c>
      <c r="E257" s="184">
        <v>1992</v>
      </c>
      <c r="F257" s="185"/>
      <c r="H257" s="186">
        <f ca="1">IF(AND(E257&gt;=2018,SUMIF('DADOS BASE'!$C$101:$D$104,D257,'DADOS BASE'!$H$101:$H$104)&gt;J257),
SUMIF('DADOS BASE'!$C$101:$D$104,D257,'DADOS BASE'!$H$101:$H$104),
J257)</f>
        <v>1868867.7135738605</v>
      </c>
      <c r="J257" s="186">
        <f t="shared" ref="J257:J265" si="159">N257+Q257+T257</f>
        <v>1868867.7135738605</v>
      </c>
      <c r="K257" s="186"/>
      <c r="L257" s="188">
        <v>1895.3160346652</v>
      </c>
      <c r="M257" s="186">
        <f t="shared" ref="M257:M265" si="160">L257/$L$11</f>
        <v>1.4786377341081305E-3</v>
      </c>
      <c r="N257" s="186">
        <f>L257*'DADOS BASE'!$I$29</f>
        <v>1866386.1785243708</v>
      </c>
      <c r="O257" s="187"/>
      <c r="P257" s="188">
        <v>0</v>
      </c>
      <c r="Q257" s="186">
        <f>P257*'DADOS BASE'!$I$33</f>
        <v>0</v>
      </c>
      <c r="R257" s="186"/>
      <c r="S257" s="188">
        <v>3.15</v>
      </c>
      <c r="T257" s="186">
        <f>S257*'DADOS BASE'!$I$37</f>
        <v>2481.5350494896393</v>
      </c>
      <c r="U257" s="186"/>
      <c r="V257" s="186">
        <f t="shared" ref="V257:V265" si="161">T257+Q257</f>
        <v>2481.5350494896393</v>
      </c>
      <c r="W257" s="187"/>
      <c r="X257" s="186"/>
      <c r="Y257" s="186"/>
      <c r="Z257" s="185"/>
      <c r="AA257" s="186"/>
      <c r="AB257" s="186"/>
      <c r="AC257" s="186"/>
      <c r="AD257" s="186"/>
      <c r="AE257" s="188">
        <v>1127</v>
      </c>
      <c r="AF257" s="188">
        <v>782.97877470123001</v>
      </c>
      <c r="AG257" s="186" t="s">
        <v>155</v>
      </c>
      <c r="AH257" s="189">
        <v>0.77200000000000002</v>
      </c>
      <c r="AI257" s="183">
        <f t="shared" ref="AI257:AI265" si="162">AF257*AH257</f>
        <v>604.45961406934953</v>
      </c>
      <c r="AJ257" s="186">
        <f t="shared" ref="AJ257:AJ265" si="163">(AH257-$AI$12)*$AJ$12</f>
        <v>6.699905571441582E-2</v>
      </c>
      <c r="AK257" s="186"/>
      <c r="AL257" s="186">
        <f t="shared" ref="AL257:AL265" si="164">$AL$11-(AJ257*$AL$11)</f>
        <v>167.63822685893837</v>
      </c>
      <c r="AM257" s="187">
        <f t="shared" ref="AM257:AM265" si="165">AF257*AL257</f>
        <v>131257.17345909838</v>
      </c>
      <c r="AN257" s="186"/>
      <c r="AO257" s="188">
        <v>1.7731137088204001</v>
      </c>
      <c r="AQ257" s="186">
        <f t="shared" ref="AQ257:AQ265" si="166">AF257*AO257</f>
        <v>1388.3103991381504</v>
      </c>
      <c r="AR257" s="186">
        <f t="shared" ref="AR257:AR265" si="167">AQ257/$AQ$11</f>
        <v>1.4771478836822932E-3</v>
      </c>
      <c r="AS257" s="187">
        <f>AR257*'DADOS BASE'!W$38</f>
        <v>443107.09326251416</v>
      </c>
      <c r="AU257" s="188">
        <v>3.15</v>
      </c>
      <c r="AV257" s="188">
        <v>5.25</v>
      </c>
      <c r="AW257" s="186">
        <f t="shared" ref="AW257:AW265" si="168">AU257/4</f>
        <v>0.78749999999999998</v>
      </c>
      <c r="AX257" s="186">
        <f>IF($AW$11&gt;0,(AW257/$AW$11)*'DADOS BASE'!W$40,0)</f>
        <v>141.49514473696524</v>
      </c>
      <c r="AY257" s="186">
        <f t="shared" ref="AY257:AY265" si="169">AO257*AW257</f>
        <v>1.396327045696065</v>
      </c>
      <c r="AZ257" s="186">
        <f t="shared" ref="AZ257:AZ265" si="170">IF($AY$11&gt;0,AY257/$AY$11,0)</f>
        <v>7.3028345000076622E-5</v>
      </c>
      <c r="BA257" s="186">
        <f>AZ257*'DADOS BASE'!W$41</f>
        <v>539.52273392790505</v>
      </c>
      <c r="BC257" s="188">
        <v>0</v>
      </c>
      <c r="BD257" s="186">
        <f>IF($BC$11&gt;0,(BC257/$BC$11)*'DADOS BASE'!W$39,0)</f>
        <v>0</v>
      </c>
      <c r="BE257" s="187"/>
    </row>
    <row r="258" spans="2:57" x14ac:dyDescent="0.3">
      <c r="B258" s="223" t="s">
        <v>382</v>
      </c>
      <c r="C258" s="223" t="s">
        <v>385</v>
      </c>
      <c r="D258" s="223" t="s">
        <v>94</v>
      </c>
      <c r="E258" s="223">
        <v>2015</v>
      </c>
      <c r="F258" s="224"/>
      <c r="G258" s="225"/>
      <c r="H258" s="226">
        <f ca="1">IF(AND(E258&gt;=2018,SUMIF('DADOS BASE'!$C$101:$D$104,D258,'DADOS BASE'!$H$101:$H$104)&gt;J258),
SUMIF('DADOS BASE'!$C$101:$D$104,D258,'DADOS BASE'!$H$101:$H$104),
J258)</f>
        <v>833817.25306500786</v>
      </c>
      <c r="I258" s="225"/>
      <c r="J258" s="226">
        <f t="shared" si="159"/>
        <v>833817.25306500786</v>
      </c>
      <c r="K258" s="226"/>
      <c r="L258" s="227">
        <v>846.74180933127002</v>
      </c>
      <c r="M258" s="226">
        <f t="shared" si="160"/>
        <v>6.6058871841147737E-4</v>
      </c>
      <c r="N258" s="226">
        <f>L258*'DADOS BASE'!$I$29</f>
        <v>833817.25306500786</v>
      </c>
      <c r="O258" s="228"/>
      <c r="P258" s="227">
        <v>0</v>
      </c>
      <c r="Q258" s="226">
        <f>P258*'DADOS BASE'!$I$33</f>
        <v>0</v>
      </c>
      <c r="R258" s="226"/>
      <c r="S258" s="227">
        <v>0</v>
      </c>
      <c r="T258" s="226">
        <f>S258*'DADOS BASE'!$I$37</f>
        <v>0</v>
      </c>
      <c r="U258" s="226"/>
      <c r="V258" s="226">
        <f t="shared" si="161"/>
        <v>0</v>
      </c>
      <c r="W258" s="228"/>
      <c r="X258" s="226"/>
      <c r="Y258" s="226"/>
      <c r="Z258" s="224"/>
      <c r="AA258" s="226"/>
      <c r="AB258" s="226"/>
      <c r="AC258" s="226"/>
      <c r="AD258" s="226"/>
      <c r="AE258" s="227">
        <v>415</v>
      </c>
      <c r="AF258" s="227">
        <v>390.23355886764</v>
      </c>
      <c r="AG258" s="226" t="s">
        <v>155</v>
      </c>
      <c r="AH258" s="229">
        <v>0.75600000000000001</v>
      </c>
      <c r="AI258" s="225">
        <f t="shared" si="162"/>
        <v>295.01657050393584</v>
      </c>
      <c r="AJ258" s="226">
        <f t="shared" si="163"/>
        <v>4.5418350705139006E-2</v>
      </c>
      <c r="AK258" s="226"/>
      <c r="AL258" s="226">
        <f t="shared" si="164"/>
        <v>171.51576968917757</v>
      </c>
      <c r="AM258" s="228">
        <f t="shared" si="165"/>
        <v>66931.209207730266</v>
      </c>
      <c r="AN258" s="226"/>
      <c r="AO258" s="227">
        <v>1.6783042394015</v>
      </c>
      <c r="AP258" s="225"/>
      <c r="AQ258" s="226">
        <f t="shared" si="166"/>
        <v>654.93063620429507</v>
      </c>
      <c r="AR258" s="226">
        <f t="shared" si="167"/>
        <v>6.9683941273395572E-4</v>
      </c>
      <c r="AS258" s="228">
        <f>AR258*'DADOS BASE'!W$38</f>
        <v>209034.24095736112</v>
      </c>
      <c r="AT258" s="225"/>
      <c r="AU258" s="227">
        <v>0</v>
      </c>
      <c r="AV258" s="227">
        <v>0</v>
      </c>
      <c r="AW258" s="226">
        <f t="shared" si="168"/>
        <v>0</v>
      </c>
      <c r="AX258" s="226">
        <f>IF($AW$11&gt;0,(AW258/$AW$11)*'DADOS BASE'!W$40,0)</f>
        <v>0</v>
      </c>
      <c r="AY258" s="226">
        <f t="shared" si="169"/>
        <v>0</v>
      </c>
      <c r="AZ258" s="226">
        <f t="shared" si="170"/>
        <v>0</v>
      </c>
      <c r="BA258" s="226">
        <f>AZ258*'DADOS BASE'!W$41</f>
        <v>0</v>
      </c>
      <c r="BB258" s="225"/>
      <c r="BC258" s="227">
        <v>0</v>
      </c>
      <c r="BD258" s="226">
        <f>IF($BC$11&gt;0,(BC258/$BC$11)*'DADOS BASE'!W$39,0)</f>
        <v>0</v>
      </c>
      <c r="BE258" s="187"/>
    </row>
    <row r="259" spans="2:57" x14ac:dyDescent="0.3">
      <c r="B259" s="184" t="s">
        <v>382</v>
      </c>
      <c r="C259" s="184" t="s">
        <v>386</v>
      </c>
      <c r="D259" s="184" t="s">
        <v>94</v>
      </c>
      <c r="E259" s="184">
        <v>2010</v>
      </c>
      <c r="F259" s="185"/>
      <c r="H259" s="186">
        <f ca="1">IF(AND(E259&gt;=2018,SUMIF('DADOS BASE'!$C$101:$D$104,D259,'DADOS BASE'!$H$101:$H$104)&gt;J259),
SUMIF('DADOS BASE'!$C$101:$D$104,D259,'DADOS BASE'!$H$101:$H$104),
J259)</f>
        <v>1476099.4416850603</v>
      </c>
      <c r="J259" s="186">
        <f t="shared" si="159"/>
        <v>1476099.4416850603</v>
      </c>
      <c r="K259" s="186"/>
      <c r="L259" s="188">
        <v>1497.9896713979001</v>
      </c>
      <c r="M259" s="186">
        <f t="shared" si="160"/>
        <v>1.1686621190984869E-3</v>
      </c>
      <c r="N259" s="186">
        <f>L259*'DADOS BASE'!$I$29</f>
        <v>1475124.5529156178</v>
      </c>
      <c r="O259" s="187"/>
      <c r="P259" s="188">
        <v>0</v>
      </c>
      <c r="Q259" s="186">
        <f>P259*'DADOS BASE'!$I$33</f>
        <v>0</v>
      </c>
      <c r="R259" s="186"/>
      <c r="S259" s="188">
        <v>1.2375</v>
      </c>
      <c r="T259" s="186">
        <f>S259*'DADOS BASE'!$I$37</f>
        <v>974.88876944235835</v>
      </c>
      <c r="U259" s="186"/>
      <c r="V259" s="186">
        <f t="shared" si="161"/>
        <v>974.88876944235835</v>
      </c>
      <c r="W259" s="187"/>
      <c r="X259" s="186"/>
      <c r="Y259" s="186"/>
      <c r="Z259" s="185"/>
      <c r="AA259" s="186"/>
      <c r="AB259" s="186"/>
      <c r="AC259" s="186"/>
      <c r="AD259" s="186"/>
      <c r="AE259" s="188">
        <v>828</v>
      </c>
      <c r="AF259" s="188">
        <v>644.21235617328</v>
      </c>
      <c r="AG259" s="186" t="s">
        <v>155</v>
      </c>
      <c r="AH259" s="189">
        <v>0.71299999999999997</v>
      </c>
      <c r="AI259" s="183">
        <f t="shared" si="162"/>
        <v>459.32340995154863</v>
      </c>
      <c r="AJ259" s="186">
        <f t="shared" si="163"/>
        <v>-1.2579794007292453E-2</v>
      </c>
      <c r="AK259" s="186"/>
      <c r="AL259" s="186">
        <f t="shared" si="164"/>
        <v>181.93666604544546</v>
      </c>
      <c r="AM259" s="187">
        <f t="shared" si="165"/>
        <v>117205.84830744761</v>
      </c>
      <c r="AN259" s="186"/>
      <c r="AO259" s="188">
        <v>1.8779527559055</v>
      </c>
      <c r="AQ259" s="186">
        <f t="shared" si="166"/>
        <v>1209.8003696639867</v>
      </c>
      <c r="AR259" s="186">
        <f t="shared" si="167"/>
        <v>1.2872150614420231E-3</v>
      </c>
      <c r="AS259" s="187">
        <f>AR259*'DADOS BASE'!W$38</f>
        <v>386132.0390328503</v>
      </c>
      <c r="AU259" s="188">
        <v>1.2375</v>
      </c>
      <c r="AV259" s="188">
        <v>5.5</v>
      </c>
      <c r="AW259" s="186">
        <f t="shared" si="168"/>
        <v>0.30937500000000001</v>
      </c>
      <c r="AX259" s="186">
        <f>IF($AW$11&gt;0,(AW259/$AW$11)*'DADOS BASE'!W$40,0)</f>
        <v>55.587378289522057</v>
      </c>
      <c r="AY259" s="186">
        <f t="shared" si="169"/>
        <v>0.58099163385826413</v>
      </c>
      <c r="AZ259" s="186">
        <f t="shared" si="170"/>
        <v>3.0386045740744675E-5</v>
      </c>
      <c r="BA259" s="186">
        <f>AZ259*'DADOS BASE'!W$41</f>
        <v>224.48766258208013</v>
      </c>
      <c r="BC259" s="188">
        <v>0</v>
      </c>
      <c r="BD259" s="186">
        <f>IF($BC$11&gt;0,(BC259/$BC$11)*'DADOS BASE'!W$39,0)</f>
        <v>0</v>
      </c>
      <c r="BE259" s="187"/>
    </row>
    <row r="260" spans="2:57" x14ac:dyDescent="0.3">
      <c r="B260" s="223" t="s">
        <v>382</v>
      </c>
      <c r="C260" s="223" t="s">
        <v>387</v>
      </c>
      <c r="D260" s="223" t="s">
        <v>94</v>
      </c>
      <c r="E260" s="223">
        <v>1994</v>
      </c>
      <c r="F260" s="224"/>
      <c r="G260" s="225"/>
      <c r="H260" s="226">
        <f ca="1">IF(AND(E260&gt;=2018,SUMIF('DADOS BASE'!$C$101:$D$104,D260,'DADOS BASE'!$H$101:$H$104)&gt;J260),
SUMIF('DADOS BASE'!$C$101:$D$104,D260,'DADOS BASE'!$H$101:$H$104),
J260)</f>
        <v>1769218.3308384982</v>
      </c>
      <c r="I260" s="225"/>
      <c r="J260" s="226">
        <f t="shared" si="159"/>
        <v>1769218.3308384982</v>
      </c>
      <c r="K260" s="226"/>
      <c r="L260" s="227">
        <v>1780.3772992244999</v>
      </c>
      <c r="M260" s="226">
        <f t="shared" si="160"/>
        <v>1.3889678594144824E-3</v>
      </c>
      <c r="N260" s="226">
        <f>L260*'DADOS BASE'!$I$29</f>
        <v>1753201.8529132141</v>
      </c>
      <c r="O260" s="228"/>
      <c r="P260" s="227">
        <v>0</v>
      </c>
      <c r="Q260" s="226">
        <f>P260*'DADOS BASE'!$I$33</f>
        <v>0</v>
      </c>
      <c r="R260" s="226"/>
      <c r="S260" s="227">
        <v>20.330926002847001</v>
      </c>
      <c r="T260" s="226">
        <f>S260*'DADOS BASE'!$I$37</f>
        <v>16016.477925284167</v>
      </c>
      <c r="U260" s="226"/>
      <c r="V260" s="226">
        <f t="shared" si="161"/>
        <v>16016.477925284167</v>
      </c>
      <c r="W260" s="228"/>
      <c r="X260" s="226"/>
      <c r="Y260" s="226"/>
      <c r="Z260" s="224"/>
      <c r="AA260" s="226"/>
      <c r="AB260" s="226"/>
      <c r="AC260" s="226"/>
      <c r="AD260" s="226"/>
      <c r="AE260" s="227">
        <v>1039</v>
      </c>
      <c r="AF260" s="227">
        <v>797.68434117360005</v>
      </c>
      <c r="AG260" s="226" t="s">
        <v>155</v>
      </c>
      <c r="AH260" s="229">
        <v>0.76400000000000001</v>
      </c>
      <c r="AI260" s="225">
        <f t="shared" si="162"/>
        <v>609.43083665663039</v>
      </c>
      <c r="AJ260" s="226">
        <f t="shared" si="163"/>
        <v>5.6208703209777416E-2</v>
      </c>
      <c r="AK260" s="226"/>
      <c r="AL260" s="226">
        <f t="shared" si="164"/>
        <v>169.57699827405798</v>
      </c>
      <c r="AM260" s="228">
        <f t="shared" si="165"/>
        <v>135268.91614643866</v>
      </c>
      <c r="AN260" s="226"/>
      <c r="AO260" s="227">
        <v>1.6962833914052999</v>
      </c>
      <c r="AP260" s="225"/>
      <c r="AQ260" s="226">
        <f t="shared" si="166"/>
        <v>1353.0986995168566</v>
      </c>
      <c r="AR260" s="226">
        <f t="shared" si="167"/>
        <v>1.4396830000303808E-3</v>
      </c>
      <c r="AS260" s="228">
        <f>AR260*'DADOS BASE'!W$38</f>
        <v>431868.57349221624</v>
      </c>
      <c r="AT260" s="225"/>
      <c r="AU260" s="227">
        <v>5.5307890440216001</v>
      </c>
      <c r="AV260" s="227">
        <v>9.25</v>
      </c>
      <c r="AW260" s="226">
        <f t="shared" si="168"/>
        <v>1.3826972610054</v>
      </c>
      <c r="AX260" s="226">
        <f>IF($AW$11&gt;0,(AW260/$AW$11)*'DADOS BASE'!W$40,0)</f>
        <v>248.4380305693517</v>
      </c>
      <c r="AY260" s="226">
        <f t="shared" si="169"/>
        <v>2.3454463991850591</v>
      </c>
      <c r="AZ260" s="226">
        <f t="shared" si="170"/>
        <v>1.2266758661362841E-4</v>
      </c>
      <c r="BA260" s="226">
        <f>AZ260*'DADOS BASE'!W$41</f>
        <v>906.2501922240391</v>
      </c>
      <c r="BB260" s="225"/>
      <c r="BC260" s="227">
        <v>0</v>
      </c>
      <c r="BD260" s="226">
        <f>IF($BC$11&gt;0,(BC260/$BC$11)*'DADOS BASE'!W$39,0)</f>
        <v>0</v>
      </c>
      <c r="BE260" s="187"/>
    </row>
    <row r="261" spans="2:57" x14ac:dyDescent="0.3">
      <c r="B261" s="184" t="s">
        <v>382</v>
      </c>
      <c r="C261" s="184" t="s">
        <v>388</v>
      </c>
      <c r="D261" s="184" t="s">
        <v>94</v>
      </c>
      <c r="E261" s="184">
        <v>1987</v>
      </c>
      <c r="F261" s="185"/>
      <c r="H261" s="186">
        <f ca="1">IF(AND(E261&gt;=2018,SUMIF('DADOS BASE'!$C$101:$D$104,D261,'DADOS BASE'!$H$101:$H$104)&gt;J261),
SUMIF('DADOS BASE'!$C$101:$D$104,D261,'DADOS BASE'!$H$101:$H$104),
J261)</f>
        <v>1722762.7628923545</v>
      </c>
      <c r="J261" s="186">
        <f t="shared" si="159"/>
        <v>1722762.7628923545</v>
      </c>
      <c r="K261" s="186"/>
      <c r="L261" s="188">
        <v>1749.4663891133</v>
      </c>
      <c r="M261" s="186">
        <f t="shared" si="160"/>
        <v>1.3648525998746037E-3</v>
      </c>
      <c r="N261" s="186">
        <f>L261*'DADOS BASE'!$I$29</f>
        <v>1722762.7628923545</v>
      </c>
      <c r="O261" s="187"/>
      <c r="P261" s="188">
        <v>0</v>
      </c>
      <c r="Q261" s="186">
        <f>P261*'DADOS BASE'!$I$33</f>
        <v>0</v>
      </c>
      <c r="R261" s="186"/>
      <c r="S261" s="188">
        <v>0</v>
      </c>
      <c r="T261" s="186">
        <f>S261*'DADOS BASE'!$I$37</f>
        <v>0</v>
      </c>
      <c r="U261" s="186"/>
      <c r="V261" s="186">
        <f t="shared" si="161"/>
        <v>0</v>
      </c>
      <c r="W261" s="187"/>
      <c r="X261" s="186"/>
      <c r="Y261" s="186"/>
      <c r="Z261" s="185"/>
      <c r="AA261" s="186"/>
      <c r="AB261" s="186"/>
      <c r="AC261" s="186"/>
      <c r="AD261" s="186"/>
      <c r="AE261" s="188">
        <v>1075</v>
      </c>
      <c r="AF261" s="188">
        <v>749.02206153789996</v>
      </c>
      <c r="AG261" s="186" t="s">
        <v>155</v>
      </c>
      <c r="AH261" s="189">
        <v>0.72599999999999998</v>
      </c>
      <c r="AI261" s="183">
        <f t="shared" si="162"/>
        <v>543.79001667651539</v>
      </c>
      <c r="AJ261" s="186">
        <f t="shared" si="163"/>
        <v>4.9545288127449639E-3</v>
      </c>
      <c r="AK261" s="186"/>
      <c r="AL261" s="186">
        <f t="shared" si="164"/>
        <v>178.78616249587608</v>
      </c>
      <c r="AM261" s="187">
        <f t="shared" si="165"/>
        <v>133914.78000711108</v>
      </c>
      <c r="AN261" s="186"/>
      <c r="AO261" s="188">
        <v>1.9610717896865999</v>
      </c>
      <c r="AQ261" s="186">
        <f t="shared" si="166"/>
        <v>1468.8860347348759</v>
      </c>
      <c r="AR261" s="186">
        <f t="shared" si="167"/>
        <v>1.5628795253036097E-3</v>
      </c>
      <c r="AS261" s="187">
        <f>AR261*'DADOS BASE'!W$38</f>
        <v>468824.42254219769</v>
      </c>
      <c r="AU261" s="188">
        <v>0</v>
      </c>
      <c r="AV261" s="188">
        <v>0</v>
      </c>
      <c r="AW261" s="186">
        <f t="shared" si="168"/>
        <v>0</v>
      </c>
      <c r="AX261" s="186">
        <f>IF($AW$11&gt;0,(AW261/$AW$11)*'DADOS BASE'!W$40,0)</f>
        <v>0</v>
      </c>
      <c r="AY261" s="186">
        <f t="shared" si="169"/>
        <v>0</v>
      </c>
      <c r="AZ261" s="186">
        <f t="shared" si="170"/>
        <v>0</v>
      </c>
      <c r="BA261" s="186">
        <f>AZ261*'DADOS BASE'!W$41</f>
        <v>0</v>
      </c>
      <c r="BC261" s="188">
        <v>0</v>
      </c>
      <c r="BD261" s="186">
        <f>IF($BC$11&gt;0,(BC261/$BC$11)*'DADOS BASE'!W$39,0)</f>
        <v>0</v>
      </c>
      <c r="BE261" s="187"/>
    </row>
    <row r="262" spans="2:57" x14ac:dyDescent="0.3">
      <c r="B262" s="223" t="s">
        <v>382</v>
      </c>
      <c r="C262" s="223" t="s">
        <v>389</v>
      </c>
      <c r="D262" s="223" t="s">
        <v>94</v>
      </c>
      <c r="E262" s="223">
        <v>2006</v>
      </c>
      <c r="F262" s="224"/>
      <c r="G262" s="225"/>
      <c r="H262" s="226">
        <f ca="1">IF(AND(E262&gt;=2018,SUMIF('DADOS BASE'!$C$101:$D$104,D262,'DADOS BASE'!$H$101:$H$104)&gt;J262),
SUMIF('DADOS BASE'!$C$101:$D$104,D262,'DADOS BASE'!$H$101:$H$104),
J262)</f>
        <v>1198729.688552792</v>
      </c>
      <c r="I262" s="225"/>
      <c r="J262" s="226">
        <f t="shared" si="159"/>
        <v>1198729.688552792</v>
      </c>
      <c r="K262" s="226"/>
      <c r="L262" s="227">
        <v>1217.3105577429999</v>
      </c>
      <c r="M262" s="226">
        <f t="shared" si="160"/>
        <v>9.4968928236022123E-4</v>
      </c>
      <c r="N262" s="226">
        <f>L262*'DADOS BASE'!$I$29</f>
        <v>1198729.688552792</v>
      </c>
      <c r="O262" s="228"/>
      <c r="P262" s="227">
        <v>0</v>
      </c>
      <c r="Q262" s="226">
        <f>P262*'DADOS BASE'!$I$33</f>
        <v>0</v>
      </c>
      <c r="R262" s="226"/>
      <c r="S262" s="227">
        <v>0</v>
      </c>
      <c r="T262" s="226">
        <f>S262*'DADOS BASE'!$I$37</f>
        <v>0</v>
      </c>
      <c r="U262" s="226"/>
      <c r="V262" s="226">
        <f t="shared" si="161"/>
        <v>0</v>
      </c>
      <c r="W262" s="228"/>
      <c r="X262" s="226"/>
      <c r="Y262" s="226"/>
      <c r="Z262" s="224"/>
      <c r="AA262" s="226"/>
      <c r="AB262" s="226"/>
      <c r="AC262" s="226"/>
      <c r="AD262" s="226"/>
      <c r="AE262" s="227">
        <v>658</v>
      </c>
      <c r="AF262" s="227">
        <v>527.50796014697005</v>
      </c>
      <c r="AG262" s="226" t="s">
        <v>155</v>
      </c>
      <c r="AH262" s="229">
        <v>0.66700000000000004</v>
      </c>
      <c r="AI262" s="225">
        <f t="shared" si="162"/>
        <v>351.84780941802904</v>
      </c>
      <c r="AJ262" s="226">
        <f t="shared" si="163"/>
        <v>-7.4624320908963163E-2</v>
      </c>
      <c r="AK262" s="226"/>
      <c r="AL262" s="226">
        <f t="shared" si="164"/>
        <v>193.08460168238315</v>
      </c>
      <c r="AM262" s="228">
        <f t="shared" si="165"/>
        <v>101853.66436926415</v>
      </c>
      <c r="AN262" s="226"/>
      <c r="AO262" s="227">
        <v>2.0640599001664</v>
      </c>
      <c r="AP262" s="225"/>
      <c r="AQ262" s="226">
        <f t="shared" si="166"/>
        <v>1088.8080275579364</v>
      </c>
      <c r="AR262" s="226">
        <f t="shared" si="167"/>
        <v>1.158480462756696E-3</v>
      </c>
      <c r="AS262" s="228">
        <f>AR262*'DADOS BASE'!W$38</f>
        <v>347514.90769758279</v>
      </c>
      <c r="AT262" s="225"/>
      <c r="AU262" s="227">
        <v>0</v>
      </c>
      <c r="AV262" s="227">
        <v>0</v>
      </c>
      <c r="AW262" s="226">
        <f t="shared" si="168"/>
        <v>0</v>
      </c>
      <c r="AX262" s="226">
        <f>IF($AW$11&gt;0,(AW262/$AW$11)*'DADOS BASE'!W$40,0)</f>
        <v>0</v>
      </c>
      <c r="AY262" s="226">
        <f t="shared" si="169"/>
        <v>0</v>
      </c>
      <c r="AZ262" s="226">
        <f t="shared" si="170"/>
        <v>0</v>
      </c>
      <c r="BA262" s="226">
        <f>AZ262*'DADOS BASE'!W$41</f>
        <v>0</v>
      </c>
      <c r="BB262" s="225"/>
      <c r="BC262" s="227">
        <v>0</v>
      </c>
      <c r="BD262" s="226">
        <f>IF($BC$11&gt;0,(BC262/$BC$11)*'DADOS BASE'!W$39,0)</f>
        <v>0</v>
      </c>
      <c r="BE262" s="187"/>
    </row>
    <row r="263" spans="2:57" x14ac:dyDescent="0.3">
      <c r="B263" s="184" t="s">
        <v>382</v>
      </c>
      <c r="C263" s="184" t="s">
        <v>390</v>
      </c>
      <c r="D263" s="184" t="s">
        <v>94</v>
      </c>
      <c r="E263" s="184">
        <v>2006</v>
      </c>
      <c r="F263" s="185"/>
      <c r="H263" s="186">
        <f ca="1">IF(AND(E263&gt;=2018,SUMIF('DADOS BASE'!$C$101:$D$104,D263,'DADOS BASE'!$H$101:$H$104)&gt;J263),
SUMIF('DADOS BASE'!$C$101:$D$104,D263,'DADOS BASE'!$H$101:$H$104),
J263)</f>
        <v>1600876.9933937991</v>
      </c>
      <c r="J263" s="186">
        <f t="shared" si="159"/>
        <v>1600876.9933937991</v>
      </c>
      <c r="K263" s="186"/>
      <c r="L263" s="188">
        <v>1625.6913333471</v>
      </c>
      <c r="M263" s="186">
        <f t="shared" si="160"/>
        <v>1.2682890375716178E-3</v>
      </c>
      <c r="N263" s="186">
        <f>L263*'DADOS BASE'!$I$29</f>
        <v>1600876.9933937991</v>
      </c>
      <c r="O263" s="187"/>
      <c r="P263" s="188">
        <v>0</v>
      </c>
      <c r="Q263" s="186">
        <f>P263*'DADOS BASE'!$I$33</f>
        <v>0</v>
      </c>
      <c r="R263" s="186"/>
      <c r="S263" s="188">
        <v>0</v>
      </c>
      <c r="T263" s="186">
        <f>S263*'DADOS BASE'!$I$37</f>
        <v>0</v>
      </c>
      <c r="U263" s="186"/>
      <c r="V263" s="186">
        <f t="shared" si="161"/>
        <v>0</v>
      </c>
      <c r="W263" s="187"/>
      <c r="X263" s="186"/>
      <c r="Y263" s="186"/>
      <c r="Z263" s="185"/>
      <c r="AA263" s="186"/>
      <c r="AB263" s="186"/>
      <c r="AC263" s="186"/>
      <c r="AD263" s="186"/>
      <c r="AE263" s="188">
        <v>869</v>
      </c>
      <c r="AF263" s="188">
        <v>702.80133832886997</v>
      </c>
      <c r="AG263" s="186" t="s">
        <v>155</v>
      </c>
      <c r="AH263" s="189">
        <v>0.77</v>
      </c>
      <c r="AI263" s="183">
        <f t="shared" si="162"/>
        <v>541.15703051322987</v>
      </c>
      <c r="AJ263" s="186">
        <f t="shared" si="163"/>
        <v>6.4301467588256223E-2</v>
      </c>
      <c r="AK263" s="186"/>
      <c r="AL263" s="186">
        <f t="shared" si="164"/>
        <v>168.12291971271827</v>
      </c>
      <c r="AM263" s="187">
        <f t="shared" si="165"/>
        <v>118157.01297785556</v>
      </c>
      <c r="AN263" s="186"/>
      <c r="AO263" s="188">
        <v>1.6372064276885001</v>
      </c>
      <c r="AQ263" s="186">
        <f t="shared" si="166"/>
        <v>1150.6308685001061</v>
      </c>
      <c r="AR263" s="186">
        <f t="shared" si="167"/>
        <v>1.2242593251189202E-3</v>
      </c>
      <c r="AS263" s="187">
        <f>AR263*'DADOS BASE'!W$38</f>
        <v>367246.9066540997</v>
      </c>
      <c r="AU263" s="188">
        <v>0</v>
      </c>
      <c r="AV263" s="188">
        <v>0</v>
      </c>
      <c r="AW263" s="186">
        <f t="shared" si="168"/>
        <v>0</v>
      </c>
      <c r="AX263" s="186">
        <f>IF($AW$11&gt;0,(AW263/$AW$11)*'DADOS BASE'!W$40,0)</f>
        <v>0</v>
      </c>
      <c r="AY263" s="186">
        <f t="shared" si="169"/>
        <v>0</v>
      </c>
      <c r="AZ263" s="186">
        <f t="shared" si="170"/>
        <v>0</v>
      </c>
      <c r="BA263" s="186">
        <f>AZ263*'DADOS BASE'!W$41</f>
        <v>0</v>
      </c>
      <c r="BC263" s="188">
        <v>0</v>
      </c>
      <c r="BD263" s="186">
        <f>IF($BC$11&gt;0,(BC263/$BC$11)*'DADOS BASE'!W$39,0)</f>
        <v>0</v>
      </c>
      <c r="BE263" s="187"/>
    </row>
    <row r="264" spans="2:57" x14ac:dyDescent="0.3">
      <c r="B264" s="223" t="s">
        <v>382</v>
      </c>
      <c r="C264" s="223" t="s">
        <v>391</v>
      </c>
      <c r="D264" s="223" t="s">
        <v>94</v>
      </c>
      <c r="E264" s="223">
        <v>2006</v>
      </c>
      <c r="F264" s="224"/>
      <c r="G264" s="225"/>
      <c r="H264" s="226">
        <f ca="1">IF(AND(E264&gt;=2018,SUMIF('DADOS BASE'!$C$101:$D$104,D264,'DADOS BASE'!$H$101:$H$104)&gt;J264),
SUMIF('DADOS BASE'!$C$101:$D$104,D264,'DADOS BASE'!$H$101:$H$104),
J264)</f>
        <v>1735619.1568297523</v>
      </c>
      <c r="I264" s="225"/>
      <c r="J264" s="226">
        <f t="shared" si="159"/>
        <v>1735619.1568297523</v>
      </c>
      <c r="K264" s="226"/>
      <c r="L264" s="227">
        <v>1762.5220631522</v>
      </c>
      <c r="M264" s="226">
        <f t="shared" si="160"/>
        <v>1.3750380317102732E-3</v>
      </c>
      <c r="N264" s="226">
        <f>L264*'DADOS BASE'!$I$29</f>
        <v>1735619.1568297523</v>
      </c>
      <c r="O264" s="228"/>
      <c r="P264" s="227">
        <v>0</v>
      </c>
      <c r="Q264" s="226">
        <f>P264*'DADOS BASE'!$I$33</f>
        <v>0</v>
      </c>
      <c r="R264" s="226"/>
      <c r="S264" s="227">
        <v>0</v>
      </c>
      <c r="T264" s="226">
        <f>S264*'DADOS BASE'!$I$37</f>
        <v>0</v>
      </c>
      <c r="U264" s="226"/>
      <c r="V264" s="226">
        <f t="shared" si="161"/>
        <v>0</v>
      </c>
      <c r="W264" s="228"/>
      <c r="X264" s="226"/>
      <c r="Y264" s="226"/>
      <c r="Z264" s="224"/>
      <c r="AA264" s="226"/>
      <c r="AB264" s="226"/>
      <c r="AC264" s="226"/>
      <c r="AD264" s="226"/>
      <c r="AE264" s="227">
        <v>915</v>
      </c>
      <c r="AF264" s="227">
        <v>758.33416324241</v>
      </c>
      <c r="AG264" s="226" t="s">
        <v>155</v>
      </c>
      <c r="AH264" s="229">
        <v>0.77800000000000002</v>
      </c>
      <c r="AI264" s="225">
        <f t="shared" si="162"/>
        <v>589.98397900259499</v>
      </c>
      <c r="AJ264" s="226">
        <f t="shared" si="163"/>
        <v>7.5091820092894626E-2</v>
      </c>
      <c r="AK264" s="226"/>
      <c r="AL264" s="226">
        <f t="shared" si="164"/>
        <v>166.18414829759868</v>
      </c>
      <c r="AM264" s="228">
        <f t="shared" si="165"/>
        <v>126023.11704341207</v>
      </c>
      <c r="AN264" s="226"/>
      <c r="AO264" s="227">
        <v>1.7129186602871</v>
      </c>
      <c r="AP264" s="225"/>
      <c r="AQ264" s="226">
        <f t="shared" si="166"/>
        <v>1298.9647389511279</v>
      </c>
      <c r="AR264" s="226">
        <f t="shared" si="167"/>
        <v>1.3820850267423845E-3</v>
      </c>
      <c r="AS264" s="228">
        <f>AR264*'DADOS BASE'!W$38</f>
        <v>414590.63483530021</v>
      </c>
      <c r="AT264" s="225"/>
      <c r="AU264" s="227">
        <v>0</v>
      </c>
      <c r="AV264" s="227">
        <v>0</v>
      </c>
      <c r="AW264" s="226">
        <f t="shared" si="168"/>
        <v>0</v>
      </c>
      <c r="AX264" s="226">
        <f>IF($AW$11&gt;0,(AW264/$AW$11)*'DADOS BASE'!W$40,0)</f>
        <v>0</v>
      </c>
      <c r="AY264" s="226">
        <f t="shared" si="169"/>
        <v>0</v>
      </c>
      <c r="AZ264" s="226">
        <f t="shared" si="170"/>
        <v>0</v>
      </c>
      <c r="BA264" s="226">
        <f>AZ264*'DADOS BASE'!W$41</f>
        <v>0</v>
      </c>
      <c r="BB264" s="225"/>
      <c r="BC264" s="227">
        <v>0</v>
      </c>
      <c r="BD264" s="226">
        <f>IF($BC$11&gt;0,(BC264/$BC$11)*'DADOS BASE'!W$39,0)</f>
        <v>0</v>
      </c>
      <c r="BE264" s="187"/>
    </row>
    <row r="265" spans="2:57" x14ac:dyDescent="0.3">
      <c r="B265" s="184" t="s">
        <v>382</v>
      </c>
      <c r="C265" s="184" t="s">
        <v>392</v>
      </c>
      <c r="D265" s="184" t="s">
        <v>94</v>
      </c>
      <c r="E265" s="184">
        <v>1909</v>
      </c>
      <c r="F265" s="185"/>
      <c r="H265" s="186">
        <f ca="1">IF(AND(E265&gt;=2018,SUMIF('DADOS BASE'!$C$101:$D$104,D265,'DADOS BASE'!$H$101:$H$104)&gt;J265),
SUMIF('DADOS BASE'!$C$101:$D$104,D265,'DADOS BASE'!$H$101:$H$104),
J265)</f>
        <v>12679162.836439207</v>
      </c>
      <c r="J265" s="186">
        <f t="shared" si="159"/>
        <v>12679162.836439207</v>
      </c>
      <c r="K265" s="186"/>
      <c r="L265" s="188">
        <v>12813.952616584</v>
      </c>
      <c r="M265" s="186">
        <f t="shared" si="160"/>
        <v>9.9968519842663934E-3</v>
      </c>
      <c r="N265" s="186">
        <f>L265*'DADOS BASE'!$I$29</f>
        <v>12618362.119266933</v>
      </c>
      <c r="O265" s="187"/>
      <c r="P265" s="188">
        <v>0</v>
      </c>
      <c r="Q265" s="186">
        <f>P265*'DADOS BASE'!$I$33</f>
        <v>0</v>
      </c>
      <c r="R265" s="186"/>
      <c r="S265" s="188">
        <v>77.178945802941996</v>
      </c>
      <c r="T265" s="186">
        <f>S265*'DADOS BASE'!$I$37</f>
        <v>60800.717172273609</v>
      </c>
      <c r="U265" s="186"/>
      <c r="V265" s="186">
        <f t="shared" si="161"/>
        <v>60800.717172273609</v>
      </c>
      <c r="W265" s="187"/>
      <c r="X265" s="186"/>
      <c r="Y265" s="186"/>
      <c r="Z265" s="185"/>
      <c r="AA265" s="186"/>
      <c r="AB265" s="186"/>
      <c r="AC265" s="186"/>
      <c r="AD265" s="186"/>
      <c r="AE265" s="188">
        <v>8531</v>
      </c>
      <c r="AF265" s="188">
        <v>5587.1144663301002</v>
      </c>
      <c r="AG265" s="186" t="s">
        <v>155</v>
      </c>
      <c r="AH265" s="189">
        <v>0.81</v>
      </c>
      <c r="AI265" s="183">
        <f t="shared" si="162"/>
        <v>4525.5627177273818</v>
      </c>
      <c r="AJ265" s="186">
        <f t="shared" si="163"/>
        <v>0.11825323011144827</v>
      </c>
      <c r="AK265" s="186"/>
      <c r="AL265" s="186">
        <f t="shared" si="164"/>
        <v>158.42906263712027</v>
      </c>
      <c r="AM265" s="187">
        <f t="shared" si="165"/>
        <v>885161.30774697219</v>
      </c>
      <c r="AN265" s="186"/>
      <c r="AO265" s="188">
        <v>1.4444362672947</v>
      </c>
      <c r="AQ265" s="186">
        <f t="shared" si="166"/>
        <v>8070.2307646940699</v>
      </c>
      <c r="AR265" s="186">
        <f t="shared" si="167"/>
        <v>8.5866419370595904E-3</v>
      </c>
      <c r="AS265" s="187">
        <f>AR265*'DADOS BASE'!W$38</f>
        <v>2575775.920371437</v>
      </c>
      <c r="AU265" s="188">
        <v>42.031259390237999</v>
      </c>
      <c r="AV265" s="188">
        <v>48.5</v>
      </c>
      <c r="AW265" s="186">
        <f t="shared" si="168"/>
        <v>10.5078148475595</v>
      </c>
      <c r="AX265" s="186">
        <f>IF($AW$11&gt;0,(AW265/$AW$11)*'DADOS BASE'!W$40,0)</f>
        <v>1888.0060733011603</v>
      </c>
      <c r="AY265" s="186">
        <f t="shared" si="169"/>
        <v>15.177868855832671</v>
      </c>
      <c r="AZ265" s="186">
        <f t="shared" si="170"/>
        <v>7.9380732944059318E-4</v>
      </c>
      <c r="BA265" s="186">
        <f>AZ265*'DADOS BASE'!W$41</f>
        <v>5864.5324714855396</v>
      </c>
      <c r="BC265" s="188">
        <v>0</v>
      </c>
      <c r="BD265" s="186">
        <f>IF($BC$11&gt;0,(BC265/$BC$11)*'DADOS BASE'!W$39,0)</f>
        <v>0</v>
      </c>
      <c r="BE265" s="187"/>
    </row>
    <row r="266" spans="2:57" x14ac:dyDescent="0.3">
      <c r="F266" s="185"/>
      <c r="H266" s="186"/>
      <c r="J266" s="186"/>
      <c r="K266" s="186"/>
      <c r="L266" s="186"/>
      <c r="M266" s="186"/>
      <c r="N266" s="186"/>
      <c r="O266" s="187"/>
      <c r="P266" s="186"/>
      <c r="Q266" s="186"/>
      <c r="R266" s="186"/>
      <c r="S266" s="186"/>
      <c r="T266" s="186"/>
      <c r="U266" s="186"/>
      <c r="V266" s="186"/>
      <c r="W266" s="187"/>
      <c r="X266" s="186"/>
      <c r="Y266" s="186"/>
      <c r="Z266" s="185"/>
      <c r="AA266" s="186"/>
      <c r="AB266" s="186"/>
      <c r="AC266" s="186"/>
      <c r="AD266" s="186"/>
      <c r="AE266" s="186"/>
      <c r="AF266" s="186"/>
      <c r="AG266" s="186"/>
      <c r="AH266" s="185"/>
      <c r="AJ266" s="186"/>
      <c r="AK266" s="186"/>
      <c r="AL266" s="186"/>
      <c r="AM266" s="187"/>
      <c r="AN266" s="186"/>
      <c r="AO266" s="186"/>
      <c r="AQ266" s="186"/>
      <c r="AR266" s="186"/>
      <c r="AS266" s="187"/>
      <c r="AU266" s="186"/>
      <c r="AV266" s="186"/>
      <c r="AW266" s="186"/>
      <c r="AX266" s="186"/>
      <c r="AY266" s="186"/>
      <c r="AZ266" s="186"/>
      <c r="BA266" s="186"/>
      <c r="BC266" s="186"/>
      <c r="BD266" s="186"/>
      <c r="BE266" s="187"/>
    </row>
    <row r="267" spans="2:57" x14ac:dyDescent="0.3">
      <c r="B267" s="209" t="s">
        <v>382</v>
      </c>
      <c r="C267" s="209" t="s">
        <v>393</v>
      </c>
      <c r="D267" s="211" t="s">
        <v>154</v>
      </c>
      <c r="E267" s="211"/>
      <c r="F267" s="210"/>
      <c r="G267" s="211"/>
      <c r="H267" s="212">
        <f ca="1">SUM(H268:H286)</f>
        <v>35617752.580749065</v>
      </c>
      <c r="I267" s="211"/>
      <c r="J267" s="212">
        <f>SUM(J268:J286)</f>
        <v>35617752.580749065</v>
      </c>
      <c r="K267" s="212"/>
      <c r="L267" s="212">
        <f>SUM(L268:L286)</f>
        <v>35906.011023215142</v>
      </c>
      <c r="M267" s="212">
        <f>SUM(M268:M286)</f>
        <v>2.8012205779500452E-2</v>
      </c>
      <c r="N267" s="212">
        <f>SUM(N268:N286)</f>
        <v>35357946.36566259</v>
      </c>
      <c r="O267" s="214"/>
      <c r="P267" s="212">
        <f>SUM(P268:P286)</f>
        <v>0</v>
      </c>
      <c r="Q267" s="212">
        <f>SUM(Q268:Q286)</f>
        <v>0</v>
      </c>
      <c r="R267" s="212"/>
      <c r="S267" s="212">
        <f>SUM(S268:S286)</f>
        <v>329.79166572347498</v>
      </c>
      <c r="T267" s="212">
        <f>SUM(T268:T286)</f>
        <v>259806.21508646797</v>
      </c>
      <c r="U267" s="212"/>
      <c r="V267" s="212">
        <f>SUM(V268:V286)</f>
        <v>259806.21508646797</v>
      </c>
      <c r="W267" s="214"/>
      <c r="X267" s="212">
        <f>SUMIF(INDICADORES!$D$13:$D$53,C267,INDICADORES!$L$13:$L$53)</f>
        <v>5.5554533581059953E-2</v>
      </c>
      <c r="Y267" s="212">
        <f>X267*'DADOS BASE'!$I$79</f>
        <v>2306802.9272761722</v>
      </c>
      <c r="Z267" s="210">
        <f>SUMIF(INDICADORES!$D$13:$D$53,C267,INDICADORES!$R$13:$R$53)</f>
        <v>3.3612241389191354E-2</v>
      </c>
      <c r="AA267" s="212">
        <f>Z267*'DADOS BASE'!$I$84</f>
        <v>1395688.3773628573</v>
      </c>
      <c r="AB267" s="212">
        <f>SUMIF(INDICADORES!$D$13:$D$53,C267,INDICADORES!$Z$13:$Z$53)</f>
        <v>1.286993139327783E-2</v>
      </c>
      <c r="AC267" s="212">
        <f>AB267*'DADOS BASE'!$I$89</f>
        <v>1068801.8960158594</v>
      </c>
      <c r="AD267" s="212"/>
      <c r="AE267" s="212">
        <f>SUM(AE268:AE286)</f>
        <v>20287</v>
      </c>
      <c r="AF267" s="212">
        <f>SUM(AF268:AF286)</f>
        <v>15869.799347544213</v>
      </c>
      <c r="AG267" s="212" t="s">
        <v>155</v>
      </c>
      <c r="AH267" s="210"/>
      <c r="AI267" s="211"/>
      <c r="AJ267" s="212"/>
      <c r="AK267" s="212"/>
      <c r="AL267" s="212"/>
      <c r="AM267" s="214">
        <f>SUM(AM268:AM286)</f>
        <v>2828692.410873692</v>
      </c>
      <c r="AN267" s="212"/>
      <c r="AO267" s="212"/>
      <c r="AP267" s="211"/>
      <c r="AQ267" s="212">
        <f>SUM(AQ268:AQ286)</f>
        <v>25276.629734504168</v>
      </c>
      <c r="AR267" s="212"/>
      <c r="AS267" s="214">
        <f>SUM(AS268:AS286)</f>
        <v>8067543.0624750666</v>
      </c>
      <c r="AT267" s="211"/>
      <c r="AU267" s="212">
        <f t="shared" ref="AU267:BA267" si="171">SUM(AU268:AU286)</f>
        <v>213.64153670074052</v>
      </c>
      <c r="AV267" s="212">
        <f t="shared" si="171"/>
        <v>579</v>
      </c>
      <c r="AW267" s="212">
        <f t="shared" si="171"/>
        <v>53.410384175185129</v>
      </c>
      <c r="AX267" s="212">
        <f t="shared" si="171"/>
        <v>9596.5841769203034</v>
      </c>
      <c r="AY267" s="212">
        <f t="shared" si="171"/>
        <v>76.585182212330395</v>
      </c>
      <c r="AZ267" s="212">
        <f t="shared" si="171"/>
        <v>4.0054291906290174E-3</v>
      </c>
      <c r="BA267" s="212">
        <f t="shared" si="171"/>
        <v>29591.52514657885</v>
      </c>
      <c r="BB267" s="211"/>
      <c r="BC267" s="212">
        <f>SUM(BC268:BC286)</f>
        <v>453</v>
      </c>
      <c r="BD267" s="212">
        <f>SUM(BD268:BD286)</f>
        <v>2447651.4176688367</v>
      </c>
      <c r="BE267" s="187"/>
    </row>
    <row r="268" spans="2:57" x14ac:dyDescent="0.3">
      <c r="B268" s="216" t="s">
        <v>382</v>
      </c>
      <c r="C268" s="218" t="s">
        <v>156</v>
      </c>
      <c r="D268" s="218" t="s">
        <v>157</v>
      </c>
      <c r="E268" s="218"/>
      <c r="F268" s="217"/>
      <c r="G268" s="218"/>
      <c r="H268" s="219"/>
      <c r="I268" s="218"/>
      <c r="J268" s="219"/>
      <c r="K268" s="219"/>
      <c r="L268" s="219">
        <v>0</v>
      </c>
      <c r="M268" s="219">
        <v>0</v>
      </c>
      <c r="N268" s="219">
        <v>0</v>
      </c>
      <c r="O268" s="221"/>
      <c r="P268" s="219"/>
      <c r="Q268" s="219"/>
      <c r="R268" s="219"/>
      <c r="S268" s="219"/>
      <c r="T268" s="219"/>
      <c r="U268" s="219"/>
      <c r="V268" s="219"/>
      <c r="W268" s="221"/>
      <c r="X268" s="219"/>
      <c r="Y268" s="219"/>
      <c r="Z268" s="217"/>
      <c r="AA268" s="219"/>
      <c r="AB268" s="219"/>
      <c r="AC268" s="219"/>
      <c r="AD268" s="219"/>
      <c r="AE268" s="219"/>
      <c r="AF268" s="219"/>
      <c r="AG268" s="219" t="s">
        <v>155</v>
      </c>
      <c r="AH268" s="217"/>
      <c r="AI268" s="218"/>
      <c r="AJ268" s="219"/>
      <c r="AK268" s="219"/>
      <c r="AL268" s="219"/>
      <c r="AM268" s="221"/>
      <c r="AN268" s="219"/>
      <c r="AO268" s="219"/>
      <c r="AP268" s="218"/>
      <c r="AQ268" s="219"/>
      <c r="AR268" s="219"/>
      <c r="AS268" s="221"/>
      <c r="AT268" s="218"/>
      <c r="AU268" s="219"/>
      <c r="AV268" s="219"/>
      <c r="AW268" s="219"/>
      <c r="AX268" s="219"/>
      <c r="AY268" s="219"/>
      <c r="AZ268" s="219"/>
      <c r="BA268" s="219"/>
      <c r="BB268" s="218"/>
      <c r="BC268" s="219"/>
      <c r="BD268" s="219"/>
      <c r="BE268" s="187"/>
    </row>
    <row r="269" spans="2:57" x14ac:dyDescent="0.3">
      <c r="B269" s="184" t="s">
        <v>382</v>
      </c>
      <c r="C269" s="184" t="s">
        <v>394</v>
      </c>
      <c r="D269" s="184" t="s">
        <v>98</v>
      </c>
      <c r="E269" s="184">
        <v>2016</v>
      </c>
      <c r="F269" s="185"/>
      <c r="H269" s="186">
        <f ca="1">IF(AND(E269&gt;=2018,SUMIF('DADOS BASE'!$C$101:$D$104,D269,'DADOS BASE'!$H$101:$H$104)&gt;J269),
SUMIF('DADOS BASE'!$C$101:$D$104,D269,'DADOS BASE'!$H$101:$H$104),
J269)</f>
        <v>1080943.292311575</v>
      </c>
      <c r="J269" s="186">
        <f t="shared" ref="J269:J286" si="172">N269+Q269+T269</f>
        <v>1080943.292311575</v>
      </c>
      <c r="K269" s="186"/>
      <c r="L269" s="188">
        <v>894.55830450383996</v>
      </c>
      <c r="M269" s="186">
        <f t="shared" ref="M269:M286" si="173">L269/$L$11</f>
        <v>6.9789293194726944E-4</v>
      </c>
      <c r="N269" s="186">
        <f>L269*'DADOS BASE'!$I$29</f>
        <v>880903.88350726361</v>
      </c>
      <c r="O269" s="187"/>
      <c r="P269" s="188">
        <v>0</v>
      </c>
      <c r="Q269" s="186">
        <f>P269*'DADOS BASE'!$I$33</f>
        <v>0</v>
      </c>
      <c r="R269" s="186"/>
      <c r="S269" s="188">
        <v>253.92514115937001</v>
      </c>
      <c r="T269" s="186">
        <f>S269*'DADOS BASE'!$I$37</f>
        <v>200039.40880431142</v>
      </c>
      <c r="U269" s="186"/>
      <c r="V269" s="186">
        <f t="shared" ref="V269:V286" si="174">T269+Q269</f>
        <v>200039.40880431142</v>
      </c>
      <c r="W269" s="187"/>
      <c r="X269" s="186"/>
      <c r="Y269" s="186"/>
      <c r="Z269" s="185"/>
      <c r="AA269" s="186"/>
      <c r="AB269" s="186"/>
      <c r="AC269" s="186"/>
      <c r="AD269" s="186"/>
      <c r="AE269" s="188">
        <v>508</v>
      </c>
      <c r="AF269" s="188">
        <v>361.54594953876</v>
      </c>
      <c r="AG269" s="186" t="s">
        <v>155</v>
      </c>
      <c r="AH269" s="189">
        <v>0.749</v>
      </c>
      <c r="AI269" s="183">
        <f t="shared" ref="AI269:AI286" si="175">AF269*AH269</f>
        <v>270.79791620453125</v>
      </c>
      <c r="AJ269" s="186">
        <f t="shared" ref="AJ269:AJ286" si="176">(AH269-$AI$12)*$AJ$12</f>
        <v>3.5976792263580394E-2</v>
      </c>
      <c r="AK269" s="186"/>
      <c r="AL269" s="186">
        <f t="shared" ref="AL269:AL286" si="177">$AL$11-(AJ269*$AL$11)</f>
        <v>173.21219467740724</v>
      </c>
      <c r="AM269" s="187">
        <f t="shared" ref="AM269:AM286" si="178">AF269*AL269</f>
        <v>62624.167396335753</v>
      </c>
      <c r="AN269" s="186"/>
      <c r="AO269" s="188">
        <v>1.3467336683416999</v>
      </c>
      <c r="AQ269" s="186">
        <f t="shared" ref="AQ269:AQ286" si="179">AF269*AO269</f>
        <v>486.90610289641739</v>
      </c>
      <c r="AR269" s="186">
        <f t="shared" ref="AR269:AR286" si="180">AQ269/$AQ$11</f>
        <v>5.1806304979918629E-4</v>
      </c>
      <c r="AS269" s="187">
        <f>AR269*'DADOS BASE'!W$38</f>
        <v>155405.84301619191</v>
      </c>
      <c r="AU269" s="188">
        <v>152.58083981045999</v>
      </c>
      <c r="AV269" s="188">
        <v>275.25</v>
      </c>
      <c r="AW269" s="186">
        <f t="shared" ref="AW269:AW286" si="181">AU269/4</f>
        <v>38.145209952614998</v>
      </c>
      <c r="AX269" s="186">
        <f>IF($AW$11&gt;0,(AW269/$AW$11)*'DADOS BASE'!W$40,0)</f>
        <v>6853.7930200218234</v>
      </c>
      <c r="AY269" s="186">
        <f t="shared" ref="AY269:AY286" si="182">AO269*AW269</f>
        <v>51.371438529149515</v>
      </c>
      <c r="AZ269" s="186">
        <f t="shared" ref="AZ269:AZ286" si="183">IF($AY$11&gt;0,AY269/$AY$11,0)</f>
        <v>2.6867424416224866E-3</v>
      </c>
      <c r="BA269" s="186">
        <f>AZ269*'DADOS BASE'!W$41</f>
        <v>19849.260276441673</v>
      </c>
      <c r="BC269" s="188">
        <v>0</v>
      </c>
      <c r="BD269" s="186">
        <f>IF($BC$11&gt;0,(BC269/$BC$11)*'DADOS BASE'!W$39,0)</f>
        <v>0</v>
      </c>
      <c r="BE269" s="187"/>
    </row>
    <row r="270" spans="2:57" x14ac:dyDescent="0.3">
      <c r="B270" s="223" t="s">
        <v>382</v>
      </c>
      <c r="C270" s="223" t="s">
        <v>395</v>
      </c>
      <c r="D270" s="223" t="s">
        <v>98</v>
      </c>
      <c r="E270" s="223">
        <v>2015</v>
      </c>
      <c r="F270" s="224"/>
      <c r="G270" s="225"/>
      <c r="H270" s="226">
        <f ca="1">IF(AND(E270&gt;=2018,SUMIF('DADOS BASE'!$C$101:$D$104,D270,'DADOS BASE'!$H$101:$H$104)&gt;J270),
SUMIF('DADOS BASE'!$C$101:$D$104,D270,'DADOS BASE'!$H$101:$H$104),
J270)</f>
        <v>1184935.1693837715</v>
      </c>
      <c r="I270" s="225"/>
      <c r="J270" s="226">
        <f t="shared" si="172"/>
        <v>1184935.1693837715</v>
      </c>
      <c r="K270" s="226"/>
      <c r="L270" s="227">
        <v>1203.3022170939</v>
      </c>
      <c r="M270" s="226">
        <f t="shared" si="173"/>
        <v>9.3876062418546001E-4</v>
      </c>
      <c r="N270" s="226">
        <f>L270*'DADOS BASE'!$I$29</f>
        <v>1184935.1693837715</v>
      </c>
      <c r="O270" s="228"/>
      <c r="P270" s="227">
        <v>0</v>
      </c>
      <c r="Q270" s="226">
        <f>P270*'DADOS BASE'!$I$33</f>
        <v>0</v>
      </c>
      <c r="R270" s="226"/>
      <c r="S270" s="227">
        <v>0</v>
      </c>
      <c r="T270" s="226">
        <f>S270*'DADOS BASE'!$I$37</f>
        <v>0</v>
      </c>
      <c r="U270" s="226"/>
      <c r="V270" s="226">
        <f t="shared" si="174"/>
        <v>0</v>
      </c>
      <c r="W270" s="228"/>
      <c r="X270" s="226"/>
      <c r="Y270" s="226"/>
      <c r="Z270" s="224"/>
      <c r="AA270" s="226"/>
      <c r="AB270" s="226"/>
      <c r="AC270" s="226"/>
      <c r="AD270" s="226"/>
      <c r="AE270" s="227">
        <v>631</v>
      </c>
      <c r="AF270" s="227">
        <v>481.32088683755001</v>
      </c>
      <c r="AG270" s="226" t="s">
        <v>155</v>
      </c>
      <c r="AH270" s="229">
        <v>0.76100000000000001</v>
      </c>
      <c r="AI270" s="225">
        <f t="shared" si="175"/>
        <v>366.28519488337554</v>
      </c>
      <c r="AJ270" s="226">
        <f t="shared" si="176"/>
        <v>5.2162321020538006E-2</v>
      </c>
      <c r="AK270" s="226"/>
      <c r="AL270" s="226">
        <f t="shared" si="177"/>
        <v>170.30403755472784</v>
      </c>
      <c r="AM270" s="228">
        <f t="shared" si="178"/>
        <v>81970.890387857027</v>
      </c>
      <c r="AN270" s="226"/>
      <c r="AO270" s="227">
        <v>1.4811475409835999</v>
      </c>
      <c r="AP270" s="225"/>
      <c r="AQ270" s="226">
        <f t="shared" si="179"/>
        <v>712.90724796348275</v>
      </c>
      <c r="AR270" s="226">
        <f t="shared" si="180"/>
        <v>7.5852592708717127E-4</v>
      </c>
      <c r="AS270" s="228">
        <f>AR270*'DADOS BASE'!W$38</f>
        <v>227538.63877053815</v>
      </c>
      <c r="AT270" s="225"/>
      <c r="AU270" s="227">
        <v>0</v>
      </c>
      <c r="AV270" s="227">
        <v>0</v>
      </c>
      <c r="AW270" s="226">
        <f t="shared" si="181"/>
        <v>0</v>
      </c>
      <c r="AX270" s="226">
        <f>IF($AW$11&gt;0,(AW270/$AW$11)*'DADOS BASE'!W$40,0)</f>
        <v>0</v>
      </c>
      <c r="AY270" s="226">
        <f t="shared" si="182"/>
        <v>0</v>
      </c>
      <c r="AZ270" s="226">
        <f t="shared" si="183"/>
        <v>0</v>
      </c>
      <c r="BA270" s="226">
        <f>AZ270*'DADOS BASE'!W$41</f>
        <v>0</v>
      </c>
      <c r="BB270" s="225"/>
      <c r="BC270" s="227">
        <v>0</v>
      </c>
      <c r="BD270" s="226">
        <f>IF($BC$11&gt;0,(BC270/$BC$11)*'DADOS BASE'!W$39,0)</f>
        <v>0</v>
      </c>
      <c r="BE270" s="187"/>
    </row>
    <row r="271" spans="2:57" x14ac:dyDescent="0.3">
      <c r="B271" s="184" t="s">
        <v>382</v>
      </c>
      <c r="C271" s="184" t="s">
        <v>396</v>
      </c>
      <c r="D271" s="184" t="s">
        <v>98</v>
      </c>
      <c r="E271" s="184">
        <v>2016</v>
      </c>
      <c r="F271" s="185"/>
      <c r="H271" s="186">
        <f ca="1">IF(AND(E271&gt;=2018,SUMIF('DADOS BASE'!$C$101:$D$104,D271,'DADOS BASE'!$H$101:$H$104)&gt;J271),
SUMIF('DADOS BASE'!$C$101:$D$104,D271,'DADOS BASE'!$H$101:$H$104),
J271)</f>
        <v>1205211.5121868199</v>
      </c>
      <c r="J271" s="186">
        <f t="shared" si="172"/>
        <v>1205211.5121868199</v>
      </c>
      <c r="K271" s="186"/>
      <c r="L271" s="188">
        <v>1223.8928526661</v>
      </c>
      <c r="M271" s="186">
        <f t="shared" si="173"/>
        <v>9.5482448381069773E-4</v>
      </c>
      <c r="N271" s="186">
        <f>L271*'DADOS BASE'!$I$29</f>
        <v>1205211.5121868199</v>
      </c>
      <c r="O271" s="187"/>
      <c r="P271" s="188">
        <v>0</v>
      </c>
      <c r="Q271" s="186">
        <f>P271*'DADOS BASE'!$I$33</f>
        <v>0</v>
      </c>
      <c r="R271" s="186"/>
      <c r="S271" s="188">
        <v>0</v>
      </c>
      <c r="T271" s="186">
        <f>S271*'DADOS BASE'!$I$37</f>
        <v>0</v>
      </c>
      <c r="U271" s="186"/>
      <c r="V271" s="186">
        <f t="shared" si="174"/>
        <v>0</v>
      </c>
      <c r="W271" s="187"/>
      <c r="X271" s="186"/>
      <c r="Y271" s="186"/>
      <c r="Z271" s="185"/>
      <c r="AA271" s="186"/>
      <c r="AB271" s="186"/>
      <c r="AC271" s="186"/>
      <c r="AD271" s="186"/>
      <c r="AE271" s="188">
        <v>440</v>
      </c>
      <c r="AF271" s="188">
        <v>489.55714106642</v>
      </c>
      <c r="AG271" s="186" t="s">
        <v>155</v>
      </c>
      <c r="AH271" s="189">
        <v>0.77100000000000002</v>
      </c>
      <c r="AI271" s="183">
        <f t="shared" si="175"/>
        <v>377.44855576220982</v>
      </c>
      <c r="AJ271" s="186">
        <f t="shared" si="176"/>
        <v>6.5650261651336028E-2</v>
      </c>
      <c r="AK271" s="186"/>
      <c r="AL271" s="186">
        <f t="shared" si="177"/>
        <v>167.88057328582832</v>
      </c>
      <c r="AM271" s="187">
        <f t="shared" si="178"/>
        <v>82187.133498401716</v>
      </c>
      <c r="AN271" s="186"/>
      <c r="AO271" s="188">
        <v>1.9363636363636001</v>
      </c>
      <c r="AQ271" s="186">
        <f t="shared" si="179"/>
        <v>947.96064588314096</v>
      </c>
      <c r="AR271" s="186">
        <f t="shared" si="180"/>
        <v>1.0086203076413319E-3</v>
      </c>
      <c r="AS271" s="187">
        <f>AR271*'DADOS BASE'!W$38</f>
        <v>302560.64247973356</v>
      </c>
      <c r="AU271" s="188">
        <v>0</v>
      </c>
      <c r="AV271" s="188">
        <v>0</v>
      </c>
      <c r="AW271" s="186">
        <f t="shared" si="181"/>
        <v>0</v>
      </c>
      <c r="AX271" s="186">
        <f>IF($AW$11&gt;0,(AW271/$AW$11)*'DADOS BASE'!W$40,0)</f>
        <v>0</v>
      </c>
      <c r="AY271" s="186">
        <f t="shared" si="182"/>
        <v>0</v>
      </c>
      <c r="AZ271" s="186">
        <f t="shared" si="183"/>
        <v>0</v>
      </c>
      <c r="BA271" s="186">
        <f>AZ271*'DADOS BASE'!W$41</f>
        <v>0</v>
      </c>
      <c r="BC271" s="188">
        <v>0</v>
      </c>
      <c r="BD271" s="186">
        <f>IF($BC$11&gt;0,(BC271/$BC$11)*'DADOS BASE'!W$39,0)</f>
        <v>0</v>
      </c>
      <c r="BE271" s="187"/>
    </row>
    <row r="272" spans="2:57" x14ac:dyDescent="0.3">
      <c r="B272" s="223" t="s">
        <v>382</v>
      </c>
      <c r="C272" s="223" t="s">
        <v>397</v>
      </c>
      <c r="D272" s="223" t="s">
        <v>98</v>
      </c>
      <c r="E272" s="223">
        <v>2014</v>
      </c>
      <c r="F272" s="224"/>
      <c r="G272" s="225"/>
      <c r="H272" s="226">
        <f ca="1">IF(AND(E272&gt;=2018,SUMIF('DADOS BASE'!$C$101:$D$104,D272,'DADOS BASE'!$H$101:$H$104)&gt;J272),
SUMIF('DADOS BASE'!$C$101:$D$104,D272,'DADOS BASE'!$H$101:$H$104),
J272)</f>
        <v>875923.80506725202</v>
      </c>
      <c r="I272" s="225"/>
      <c r="J272" s="226">
        <f t="shared" si="172"/>
        <v>875923.80506725202</v>
      </c>
      <c r="K272" s="226"/>
      <c r="L272" s="227">
        <v>889.50103252558995</v>
      </c>
      <c r="M272" s="226">
        <f t="shared" si="173"/>
        <v>6.9394748272301433E-4</v>
      </c>
      <c r="N272" s="226">
        <f>L272*'DADOS BASE'!$I$29</f>
        <v>875923.80506725202</v>
      </c>
      <c r="O272" s="228"/>
      <c r="P272" s="227">
        <v>0</v>
      </c>
      <c r="Q272" s="226">
        <f>P272*'DADOS BASE'!$I$33</f>
        <v>0</v>
      </c>
      <c r="R272" s="226"/>
      <c r="S272" s="227">
        <v>0</v>
      </c>
      <c r="T272" s="226">
        <f>S272*'DADOS BASE'!$I$37</f>
        <v>0</v>
      </c>
      <c r="U272" s="226"/>
      <c r="V272" s="226">
        <f t="shared" si="174"/>
        <v>0</v>
      </c>
      <c r="W272" s="228"/>
      <c r="X272" s="226"/>
      <c r="Y272" s="226"/>
      <c r="Z272" s="224"/>
      <c r="AA272" s="226"/>
      <c r="AB272" s="226"/>
      <c r="AC272" s="226"/>
      <c r="AD272" s="226"/>
      <c r="AE272" s="227">
        <v>473</v>
      </c>
      <c r="AF272" s="227">
        <v>355.80041301023999</v>
      </c>
      <c r="AG272" s="226" t="s">
        <v>155</v>
      </c>
      <c r="AH272" s="229">
        <v>0.73</v>
      </c>
      <c r="AI272" s="225">
        <f t="shared" si="175"/>
        <v>259.7343014974752</v>
      </c>
      <c r="AJ272" s="226">
        <f t="shared" si="176"/>
        <v>1.034970506506417E-2</v>
      </c>
      <c r="AK272" s="226"/>
      <c r="AL272" s="226">
        <f t="shared" si="177"/>
        <v>177.8167767883163</v>
      </c>
      <c r="AM272" s="228">
        <f t="shared" si="178"/>
        <v>63267.282621432598</v>
      </c>
      <c r="AN272" s="226"/>
      <c r="AO272" s="227">
        <v>1.430029154519</v>
      </c>
      <c r="AP272" s="225"/>
      <c r="AQ272" s="226">
        <f t="shared" si="179"/>
        <v>508.80496379454451</v>
      </c>
      <c r="AR272" s="226">
        <f t="shared" si="180"/>
        <v>5.4136321095248649E-4</v>
      </c>
      <c r="AS272" s="228">
        <f>AR272*'DADOS BASE'!W$38</f>
        <v>162395.30344546848</v>
      </c>
      <c r="AT272" s="225"/>
      <c r="AU272" s="227">
        <v>0</v>
      </c>
      <c r="AV272" s="227">
        <v>0</v>
      </c>
      <c r="AW272" s="226">
        <f t="shared" si="181"/>
        <v>0</v>
      </c>
      <c r="AX272" s="226">
        <f>IF($AW$11&gt;0,(AW272/$AW$11)*'DADOS BASE'!W$40,0)</f>
        <v>0</v>
      </c>
      <c r="AY272" s="226">
        <f t="shared" si="182"/>
        <v>0</v>
      </c>
      <c r="AZ272" s="226">
        <f t="shared" si="183"/>
        <v>0</v>
      </c>
      <c r="BA272" s="226">
        <f>AZ272*'DADOS BASE'!W$41</f>
        <v>0</v>
      </c>
      <c r="BB272" s="225"/>
      <c r="BC272" s="227">
        <v>0</v>
      </c>
      <c r="BD272" s="226">
        <f>IF($BC$11&gt;0,(BC272/$BC$11)*'DADOS BASE'!W$39,0)</f>
        <v>0</v>
      </c>
      <c r="BE272" s="187"/>
    </row>
    <row r="273" spans="2:57" x14ac:dyDescent="0.3">
      <c r="B273" s="184" t="s">
        <v>382</v>
      </c>
      <c r="C273" s="184" t="s">
        <v>398</v>
      </c>
      <c r="D273" s="184" t="s">
        <v>98</v>
      </c>
      <c r="E273" s="184">
        <v>2014</v>
      </c>
      <c r="F273" s="185"/>
      <c r="H273" s="186">
        <f ca="1">IF(AND(E273&gt;=2018,SUMIF('DADOS BASE'!$C$101:$D$104,D273,'DADOS BASE'!$H$101:$H$104)&gt;J273),
SUMIF('DADOS BASE'!$C$101:$D$104,D273,'DADOS BASE'!$H$101:$H$104),
J273)</f>
        <v>869874.43526112055</v>
      </c>
      <c r="J273" s="186">
        <f t="shared" si="172"/>
        <v>869874.43526112055</v>
      </c>
      <c r="K273" s="186"/>
      <c r="L273" s="188">
        <v>883.35789466639005</v>
      </c>
      <c r="M273" s="186">
        <f t="shared" si="173"/>
        <v>6.8915489126158773E-4</v>
      </c>
      <c r="N273" s="186">
        <f>L273*'DADOS BASE'!$I$29</f>
        <v>869874.43526112055</v>
      </c>
      <c r="O273" s="187"/>
      <c r="P273" s="188">
        <v>0</v>
      </c>
      <c r="Q273" s="186">
        <f>P273*'DADOS BASE'!$I$33</f>
        <v>0</v>
      </c>
      <c r="R273" s="186"/>
      <c r="S273" s="188">
        <v>0</v>
      </c>
      <c r="T273" s="186">
        <f>S273*'DADOS BASE'!$I$37</f>
        <v>0</v>
      </c>
      <c r="U273" s="186"/>
      <c r="V273" s="186">
        <f t="shared" si="174"/>
        <v>0</v>
      </c>
      <c r="W273" s="187"/>
      <c r="X273" s="186"/>
      <c r="Y273" s="186"/>
      <c r="Z273" s="185"/>
      <c r="AA273" s="186"/>
      <c r="AB273" s="186"/>
      <c r="AC273" s="186"/>
      <c r="AD273" s="186"/>
      <c r="AE273" s="188">
        <v>401</v>
      </c>
      <c r="AF273" s="188">
        <v>353.34315786655998</v>
      </c>
      <c r="AG273" s="186" t="s">
        <v>155</v>
      </c>
      <c r="AH273" s="189">
        <v>0.73699999999999999</v>
      </c>
      <c r="AI273" s="183">
        <f t="shared" si="175"/>
        <v>260.41390734765469</v>
      </c>
      <c r="AJ273" s="186">
        <f t="shared" si="176"/>
        <v>1.9791263506622778E-2</v>
      </c>
      <c r="AK273" s="186"/>
      <c r="AL273" s="186">
        <f t="shared" si="177"/>
        <v>176.12035180008664</v>
      </c>
      <c r="AM273" s="187">
        <f t="shared" si="178"/>
        <v>62230.921269612096</v>
      </c>
      <c r="AN273" s="186"/>
      <c r="AO273" s="188">
        <v>1.877308707124</v>
      </c>
      <c r="AQ273" s="186">
        <f t="shared" si="179"/>
        <v>663.33418686558309</v>
      </c>
      <c r="AR273" s="186">
        <f t="shared" si="180"/>
        <v>7.0578070358825204E-4</v>
      </c>
      <c r="AS273" s="187">
        <f>AR273*'DADOS BASE'!W$38</f>
        <v>211716.40260429485</v>
      </c>
      <c r="AU273" s="188">
        <v>0</v>
      </c>
      <c r="AV273" s="188">
        <v>0</v>
      </c>
      <c r="AW273" s="186">
        <f t="shared" si="181"/>
        <v>0</v>
      </c>
      <c r="AX273" s="186">
        <f>IF($AW$11&gt;0,(AW273/$AW$11)*'DADOS BASE'!W$40,0)</f>
        <v>0</v>
      </c>
      <c r="AY273" s="186">
        <f t="shared" si="182"/>
        <v>0</v>
      </c>
      <c r="AZ273" s="186">
        <f t="shared" si="183"/>
        <v>0</v>
      </c>
      <c r="BA273" s="186">
        <f>AZ273*'DADOS BASE'!W$41</f>
        <v>0</v>
      </c>
      <c r="BC273" s="188">
        <v>0</v>
      </c>
      <c r="BD273" s="186">
        <f>IF($BC$11&gt;0,(BC273/$BC$11)*'DADOS BASE'!W$39,0)</f>
        <v>0</v>
      </c>
      <c r="BE273" s="187"/>
    </row>
    <row r="274" spans="2:57" x14ac:dyDescent="0.3">
      <c r="B274" s="223" t="s">
        <v>382</v>
      </c>
      <c r="C274" s="223" t="s">
        <v>399</v>
      </c>
      <c r="D274" s="223" t="s">
        <v>98</v>
      </c>
      <c r="E274" s="223">
        <v>2014</v>
      </c>
      <c r="F274" s="224"/>
      <c r="G274" s="225"/>
      <c r="H274" s="226">
        <f ca="1">IF(AND(E274&gt;=2018,SUMIF('DADOS BASE'!$C$101:$D$104,D274,'DADOS BASE'!$H$101:$H$104)&gt;J274),
SUMIF('DADOS BASE'!$C$101:$D$104,D274,'DADOS BASE'!$H$101:$H$104),
J274)</f>
        <v>552662.57656318566</v>
      </c>
      <c r="I274" s="225"/>
      <c r="J274" s="226">
        <f t="shared" si="172"/>
        <v>552662.57656318566</v>
      </c>
      <c r="K274" s="226"/>
      <c r="L274" s="227">
        <v>561.22910422951998</v>
      </c>
      <c r="M274" s="226">
        <f t="shared" si="173"/>
        <v>4.3784493763335025E-4</v>
      </c>
      <c r="N274" s="226">
        <f>L274*'DADOS BASE'!$I$29</f>
        <v>552662.57656318566</v>
      </c>
      <c r="O274" s="228"/>
      <c r="P274" s="227">
        <v>0</v>
      </c>
      <c r="Q274" s="226">
        <f>P274*'DADOS BASE'!$I$33</f>
        <v>0</v>
      </c>
      <c r="R274" s="226"/>
      <c r="S274" s="227">
        <v>0</v>
      </c>
      <c r="T274" s="226">
        <f>S274*'DADOS BASE'!$I$37</f>
        <v>0</v>
      </c>
      <c r="U274" s="226"/>
      <c r="V274" s="226">
        <f t="shared" si="174"/>
        <v>0</v>
      </c>
      <c r="W274" s="228"/>
      <c r="X274" s="226"/>
      <c r="Y274" s="226"/>
      <c r="Z274" s="224"/>
      <c r="AA274" s="226"/>
      <c r="AB274" s="226"/>
      <c r="AC274" s="226"/>
      <c r="AD274" s="226"/>
      <c r="AE274" s="227">
        <v>354</v>
      </c>
      <c r="AF274" s="227">
        <v>388.56829200330998</v>
      </c>
      <c r="AG274" s="226" t="s">
        <v>155</v>
      </c>
      <c r="AH274" s="229">
        <v>0.71699999999999997</v>
      </c>
      <c r="AI274" s="225">
        <f t="shared" si="175"/>
        <v>278.60346536637326</v>
      </c>
      <c r="AJ274" s="226">
        <f t="shared" si="176"/>
        <v>-7.184617754973247E-3</v>
      </c>
      <c r="AK274" s="226"/>
      <c r="AL274" s="226">
        <f t="shared" si="177"/>
        <v>180.96728033788565</v>
      </c>
      <c r="AM274" s="228">
        <f t="shared" si="178"/>
        <v>70318.147029376414</v>
      </c>
      <c r="AN274" s="226"/>
      <c r="AO274" s="227">
        <v>1.9277108433735</v>
      </c>
      <c r="AP274" s="225"/>
      <c r="AQ274" s="226">
        <f t="shared" si="179"/>
        <v>749.04730988590109</v>
      </c>
      <c r="AR274" s="226">
        <f t="shared" si="180"/>
        <v>7.969785786109139E-4</v>
      </c>
      <c r="AS274" s="228">
        <f>AR274*'DADOS BASE'!W$38</f>
        <v>239073.46397872746</v>
      </c>
      <c r="AT274" s="225"/>
      <c r="AU274" s="227">
        <v>0</v>
      </c>
      <c r="AV274" s="227">
        <v>0</v>
      </c>
      <c r="AW274" s="226">
        <f t="shared" si="181"/>
        <v>0</v>
      </c>
      <c r="AX274" s="226">
        <f>IF($AW$11&gt;0,(AW274/$AW$11)*'DADOS BASE'!W$40,0)</f>
        <v>0</v>
      </c>
      <c r="AY274" s="226">
        <f t="shared" si="182"/>
        <v>0</v>
      </c>
      <c r="AZ274" s="226">
        <f t="shared" si="183"/>
        <v>0</v>
      </c>
      <c r="BA274" s="226">
        <f>AZ274*'DADOS BASE'!W$41</f>
        <v>0</v>
      </c>
      <c r="BB274" s="225"/>
      <c r="BC274" s="227">
        <v>0</v>
      </c>
      <c r="BD274" s="226">
        <f>IF($BC$11&gt;0,(BC274/$BC$11)*'DADOS BASE'!W$39,0)</f>
        <v>0</v>
      </c>
      <c r="BE274" s="187"/>
    </row>
    <row r="275" spans="2:57" x14ac:dyDescent="0.3">
      <c r="B275" s="184" t="s">
        <v>382</v>
      </c>
      <c r="C275" s="184" t="s">
        <v>400</v>
      </c>
      <c r="D275" s="184" t="s">
        <v>92</v>
      </c>
      <c r="E275" s="184">
        <v>1961</v>
      </c>
      <c r="F275" s="185"/>
      <c r="H275" s="186">
        <f ca="1">IF(AND(E275&gt;=2018,SUMIF('DADOS BASE'!$C$101:$D$104,D275,'DADOS BASE'!$H$101:$H$104)&gt;J275),
SUMIF('DADOS BASE'!$C$101:$D$104,D275,'DADOS BASE'!$H$101:$H$104),
J275)</f>
        <v>4512289.6352859521</v>
      </c>
      <c r="J275" s="186">
        <f t="shared" si="172"/>
        <v>4512289.6352859521</v>
      </c>
      <c r="K275" s="186"/>
      <c r="L275" s="188">
        <v>4573.9222289016998</v>
      </c>
      <c r="M275" s="186">
        <f t="shared" si="173"/>
        <v>3.568362150075255E-3</v>
      </c>
      <c r="N275" s="186">
        <f>L275*'DADOS BASE'!$I$29</f>
        <v>4504106.4780394211</v>
      </c>
      <c r="O275" s="187"/>
      <c r="P275" s="188">
        <v>0</v>
      </c>
      <c r="Q275" s="186">
        <f>P275*'DADOS BASE'!$I$33</f>
        <v>0</v>
      </c>
      <c r="R275" s="186"/>
      <c r="S275" s="188">
        <v>10.387499999999999</v>
      </c>
      <c r="T275" s="186">
        <f>S275*'DADOS BASE'!$I$37</f>
        <v>8183.1572465313102</v>
      </c>
      <c r="U275" s="186"/>
      <c r="V275" s="186">
        <f t="shared" si="174"/>
        <v>8183.1572465313102</v>
      </c>
      <c r="W275" s="187"/>
      <c r="X275" s="186"/>
      <c r="Y275" s="186"/>
      <c r="Z275" s="185"/>
      <c r="AA275" s="186"/>
      <c r="AB275" s="186"/>
      <c r="AC275" s="186"/>
      <c r="AD275" s="186"/>
      <c r="AE275" s="188">
        <v>2293</v>
      </c>
      <c r="AF275" s="188">
        <v>1668.4319508456999</v>
      </c>
      <c r="AG275" s="186" t="s">
        <v>155</v>
      </c>
      <c r="AH275" s="189">
        <v>0.74099999999999999</v>
      </c>
      <c r="AI275" s="183">
        <f t="shared" si="175"/>
        <v>1236.3080755766637</v>
      </c>
      <c r="AJ275" s="186">
        <f t="shared" si="176"/>
        <v>2.5186439758941984E-2</v>
      </c>
      <c r="AK275" s="186"/>
      <c r="AL275" s="186">
        <f t="shared" si="177"/>
        <v>175.15096609252683</v>
      </c>
      <c r="AM275" s="187">
        <f t="shared" si="178"/>
        <v>292227.46805026359</v>
      </c>
      <c r="AN275" s="186"/>
      <c r="AO275" s="188">
        <v>1.9694560669456</v>
      </c>
      <c r="AQ275" s="186">
        <f t="shared" si="179"/>
        <v>3285.9034278789468</v>
      </c>
      <c r="AR275" s="186">
        <f t="shared" si="180"/>
        <v>3.4961672097889272E-3</v>
      </c>
      <c r="AS275" s="187">
        <f>AR275*'DADOS BASE'!W$38</f>
        <v>1048761.9465882028</v>
      </c>
      <c r="AU275" s="188">
        <v>10.387499999999999</v>
      </c>
      <c r="AV275" s="188">
        <v>66.75</v>
      </c>
      <c r="AW275" s="186">
        <f t="shared" si="181"/>
        <v>2.5968749999999998</v>
      </c>
      <c r="AX275" s="186">
        <f>IF($AW$11&gt;0,(AW275/$AW$11)*'DADOS BASE'!W$40,0)</f>
        <v>466.59708443023055</v>
      </c>
      <c r="AY275" s="186">
        <f t="shared" si="182"/>
        <v>5.1144312238493548</v>
      </c>
      <c r="AZ275" s="186">
        <f t="shared" si="183"/>
        <v>2.6748636649678794E-4</v>
      </c>
      <c r="BA275" s="186">
        <f>AZ275*'DADOS BASE'!W$41</f>
        <v>1976.1501611550582</v>
      </c>
      <c r="BC275" s="188">
        <v>229</v>
      </c>
      <c r="BD275" s="186">
        <f>IF($BC$11&gt;0,(BC275/$BC$11)*'DADOS BASE'!W$39,0)</f>
        <v>1237333.7188657033</v>
      </c>
      <c r="BE275" s="187"/>
    </row>
    <row r="276" spans="2:57" x14ac:dyDescent="0.3">
      <c r="B276" s="223" t="s">
        <v>382</v>
      </c>
      <c r="C276" s="223" t="s">
        <v>401</v>
      </c>
      <c r="D276" s="223" t="s">
        <v>94</v>
      </c>
      <c r="E276" s="223">
        <v>2010</v>
      </c>
      <c r="F276" s="224"/>
      <c r="G276" s="225"/>
      <c r="H276" s="226">
        <f ca="1">IF(AND(E276&gt;=2018,SUMIF('DADOS BASE'!$C$101:$D$104,D276,'DADOS BASE'!$H$101:$H$104)&gt;J276),
SUMIF('DADOS BASE'!$C$101:$D$104,D276,'DADOS BASE'!$H$101:$H$104),
J276)</f>
        <v>2477914.5840964084</v>
      </c>
      <c r="I276" s="225"/>
      <c r="J276" s="226">
        <f t="shared" si="172"/>
        <v>2477914.5840964084</v>
      </c>
      <c r="K276" s="226"/>
      <c r="L276" s="227">
        <v>2512.7534157047999</v>
      </c>
      <c r="M276" s="226">
        <f t="shared" si="173"/>
        <v>1.9603337644038508E-3</v>
      </c>
      <c r="N276" s="226">
        <f>L276*'DADOS BASE'!$I$29</f>
        <v>2474399.0761096315</v>
      </c>
      <c r="O276" s="228"/>
      <c r="P276" s="227">
        <v>0</v>
      </c>
      <c r="Q276" s="226">
        <f>P276*'DADOS BASE'!$I$33</f>
        <v>0</v>
      </c>
      <c r="R276" s="226"/>
      <c r="S276" s="227">
        <v>4.4625000000000004</v>
      </c>
      <c r="T276" s="226">
        <f>S276*'DADOS BASE'!$I$37</f>
        <v>3515.5079867769896</v>
      </c>
      <c r="U276" s="226"/>
      <c r="V276" s="226">
        <f t="shared" si="174"/>
        <v>3515.5079867769896</v>
      </c>
      <c r="W276" s="228"/>
      <c r="X276" s="226"/>
      <c r="Y276" s="226"/>
      <c r="Z276" s="224"/>
      <c r="AA276" s="226"/>
      <c r="AB276" s="226"/>
      <c r="AC276" s="226"/>
      <c r="AD276" s="226"/>
      <c r="AE276" s="227">
        <v>976</v>
      </c>
      <c r="AF276" s="227">
        <v>1005.1013662819</v>
      </c>
      <c r="AG276" s="226" t="s">
        <v>155</v>
      </c>
      <c r="AH276" s="229">
        <v>0.749</v>
      </c>
      <c r="AI276" s="225">
        <f t="shared" si="175"/>
        <v>752.82092334514311</v>
      </c>
      <c r="AJ276" s="226">
        <f t="shared" si="176"/>
        <v>3.5976792263580394E-2</v>
      </c>
      <c r="AK276" s="226"/>
      <c r="AL276" s="226">
        <f t="shared" si="177"/>
        <v>173.21219467740724</v>
      </c>
      <c r="AM276" s="228">
        <f t="shared" si="178"/>
        <v>174095.81352694848</v>
      </c>
      <c r="AN276" s="226"/>
      <c r="AO276" s="227">
        <v>1.2482124616956001</v>
      </c>
      <c r="AP276" s="225"/>
      <c r="AQ276" s="226">
        <f t="shared" si="179"/>
        <v>1254.5800506603414</v>
      </c>
      <c r="AR276" s="226">
        <f t="shared" si="180"/>
        <v>1.3348601781657734E-3</v>
      </c>
      <c r="AS276" s="228">
        <f>AR276*'DADOS BASE'!W$38</f>
        <v>400424.37185397965</v>
      </c>
      <c r="AT276" s="225"/>
      <c r="AU276" s="227">
        <v>4.4625000000000004</v>
      </c>
      <c r="AV276" s="227">
        <v>29.75</v>
      </c>
      <c r="AW276" s="226">
        <f t="shared" si="181"/>
        <v>1.1156250000000001</v>
      </c>
      <c r="AX276" s="226">
        <f>IF($AW$11&gt;0,(AW276/$AW$11)*'DADOS BASE'!W$40,0)</f>
        <v>200.45145504403408</v>
      </c>
      <c r="AY276" s="226">
        <f t="shared" si="182"/>
        <v>1.392537027579154</v>
      </c>
      <c r="AZ276" s="226">
        <f t="shared" si="183"/>
        <v>7.283012585689563E-5</v>
      </c>
      <c r="BA276" s="226">
        <f>AZ276*'DADOS BASE'!W$41</f>
        <v>538.0583198836631</v>
      </c>
      <c r="BB276" s="225"/>
      <c r="BC276" s="227">
        <v>0</v>
      </c>
      <c r="BD276" s="226">
        <f>IF($BC$11&gt;0,(BC276/$BC$11)*'DADOS BASE'!W$39,0)</f>
        <v>0</v>
      </c>
      <c r="BE276" s="187"/>
    </row>
    <row r="277" spans="2:57" x14ac:dyDescent="0.3">
      <c r="B277" s="184" t="s">
        <v>382</v>
      </c>
      <c r="C277" s="184" t="s">
        <v>402</v>
      </c>
      <c r="D277" s="184" t="s">
        <v>94</v>
      </c>
      <c r="E277" s="184">
        <v>2006</v>
      </c>
      <c r="F277" s="185"/>
      <c r="H277" s="186">
        <f ca="1">IF(AND(E277&gt;=2018,SUMIF('DADOS BASE'!$C$101:$D$104,D277,'DADOS BASE'!$H$101:$H$104)&gt;J277),
SUMIF('DADOS BASE'!$C$101:$D$104,D277,'DADOS BASE'!$H$101:$H$104),
J277)</f>
        <v>2904834.7560877642</v>
      </c>
      <c r="J277" s="186">
        <f t="shared" si="172"/>
        <v>2904834.7560877642</v>
      </c>
      <c r="K277" s="186"/>
      <c r="L277" s="188">
        <v>2947.6110494527002</v>
      </c>
      <c r="M277" s="186">
        <f t="shared" si="173"/>
        <v>2.2995895373009558E-3</v>
      </c>
      <c r="N277" s="186">
        <f>L277*'DADOS BASE'!$I$29</f>
        <v>2902619.0997935771</v>
      </c>
      <c r="O277" s="187"/>
      <c r="P277" s="188">
        <v>0</v>
      </c>
      <c r="Q277" s="186">
        <f>P277*'DADOS BASE'!$I$33</f>
        <v>0</v>
      </c>
      <c r="R277" s="186"/>
      <c r="S277" s="188">
        <v>2.8125</v>
      </c>
      <c r="T277" s="186">
        <f>S277*'DADOS BASE'!$I$37</f>
        <v>2215.656294187178</v>
      </c>
      <c r="U277" s="186"/>
      <c r="V277" s="186">
        <f t="shared" si="174"/>
        <v>2215.656294187178</v>
      </c>
      <c r="W277" s="187"/>
      <c r="X277" s="186"/>
      <c r="Y277" s="186"/>
      <c r="Z277" s="185"/>
      <c r="AA277" s="186"/>
      <c r="AB277" s="186"/>
      <c r="AC277" s="186"/>
      <c r="AD277" s="186"/>
      <c r="AE277" s="188">
        <v>1898</v>
      </c>
      <c r="AF277" s="188">
        <v>1228.5423085044999</v>
      </c>
      <c r="AG277" s="186" t="s">
        <v>155</v>
      </c>
      <c r="AH277" s="189">
        <v>0.753</v>
      </c>
      <c r="AI277" s="183">
        <f t="shared" si="175"/>
        <v>925.09235830388843</v>
      </c>
      <c r="AJ277" s="186">
        <f t="shared" si="176"/>
        <v>4.1371968515899596E-2</v>
      </c>
      <c r="AK277" s="186"/>
      <c r="AL277" s="186">
        <f t="shared" si="177"/>
        <v>172.24280896984743</v>
      </c>
      <c r="AM277" s="187">
        <f t="shared" si="178"/>
        <v>211607.57815511595</v>
      </c>
      <c r="AN277" s="186"/>
      <c r="AO277" s="188">
        <v>1.4843418259023</v>
      </c>
      <c r="AQ277" s="186">
        <f t="shared" si="179"/>
        <v>1823.5767334037962</v>
      </c>
      <c r="AR277" s="186">
        <f t="shared" si="180"/>
        <v>1.9402667545758536E-3</v>
      </c>
      <c r="AS277" s="187">
        <f>AR277*'DADOS BASE'!W$38</f>
        <v>582031.06897515862</v>
      </c>
      <c r="AU277" s="188">
        <v>2.8125</v>
      </c>
      <c r="AV277" s="188">
        <v>6.5</v>
      </c>
      <c r="AW277" s="186">
        <f t="shared" si="181"/>
        <v>0.703125</v>
      </c>
      <c r="AX277" s="186">
        <f>IF($AW$11&gt;0,(AW277/$AW$11)*'DADOS BASE'!W$40,0)</f>
        <v>126.33495065800467</v>
      </c>
      <c r="AY277" s="186">
        <f t="shared" si="182"/>
        <v>1.0436778463375547</v>
      </c>
      <c r="AZ277" s="186">
        <f t="shared" si="183"/>
        <v>5.458468062063598E-5</v>
      </c>
      <c r="BA277" s="186">
        <f>AZ277*'DADOS BASE'!W$41</f>
        <v>403.263638509077</v>
      </c>
      <c r="BC277" s="188">
        <v>0</v>
      </c>
      <c r="BD277" s="186">
        <f>IF($BC$11&gt;0,(BC277/$BC$11)*'DADOS BASE'!W$39,0)</f>
        <v>0</v>
      </c>
      <c r="BE277" s="187"/>
    </row>
    <row r="278" spans="2:57" x14ac:dyDescent="0.3">
      <c r="B278" s="223" t="s">
        <v>382</v>
      </c>
      <c r="C278" s="223" t="s">
        <v>403</v>
      </c>
      <c r="D278" s="223" t="s">
        <v>94</v>
      </c>
      <c r="E278" s="223">
        <v>2007</v>
      </c>
      <c r="F278" s="224"/>
      <c r="G278" s="225"/>
      <c r="H278" s="226">
        <f ca="1">IF(AND(E278&gt;=2018,SUMIF('DADOS BASE'!$C$101:$D$104,D278,'DADOS BASE'!$H$101:$H$104)&gt;J278),
SUMIF('DADOS BASE'!$C$101:$D$104,D278,'DADOS BASE'!$H$101:$H$104),
J278)</f>
        <v>1549111.5571064269</v>
      </c>
      <c r="I278" s="225"/>
      <c r="J278" s="226">
        <f t="shared" si="172"/>
        <v>1549111.5571064269</v>
      </c>
      <c r="K278" s="226"/>
      <c r="L278" s="227">
        <v>1560.4058163492</v>
      </c>
      <c r="M278" s="226">
        <f t="shared" si="173"/>
        <v>1.2173563027884685E-3</v>
      </c>
      <c r="N278" s="226">
        <f>L278*'DADOS BASE'!$I$29</f>
        <v>1536587.9859912831</v>
      </c>
      <c r="O278" s="228"/>
      <c r="P278" s="227">
        <v>0</v>
      </c>
      <c r="Q278" s="226">
        <f>P278*'DADOS BASE'!$I$33</f>
        <v>0</v>
      </c>
      <c r="R278" s="226"/>
      <c r="S278" s="227">
        <v>15.897115384615001</v>
      </c>
      <c r="T278" s="226">
        <f>S278*'DADOS BASE'!$I$37</f>
        <v>12523.571115143839</v>
      </c>
      <c r="U278" s="226"/>
      <c r="V278" s="226">
        <f t="shared" si="174"/>
        <v>12523.571115143839</v>
      </c>
      <c r="W278" s="228"/>
      <c r="X278" s="226"/>
      <c r="Y278" s="226"/>
      <c r="Z278" s="224"/>
      <c r="AA278" s="226"/>
      <c r="AB278" s="226"/>
      <c r="AC278" s="226"/>
      <c r="AD278" s="226"/>
      <c r="AE278" s="227">
        <v>1122</v>
      </c>
      <c r="AF278" s="227">
        <v>865.25783980386996</v>
      </c>
      <c r="AG278" s="226" t="s">
        <v>155</v>
      </c>
      <c r="AH278" s="229">
        <v>0.755</v>
      </c>
      <c r="AI278" s="225">
        <f t="shared" si="175"/>
        <v>653.26966905192182</v>
      </c>
      <c r="AJ278" s="226">
        <f t="shared" si="176"/>
        <v>4.40695566420592E-2</v>
      </c>
      <c r="AK278" s="226"/>
      <c r="AL278" s="226">
        <f t="shared" si="177"/>
        <v>171.75811611606753</v>
      </c>
      <c r="AM278" s="228">
        <f t="shared" si="178"/>
        <v>148615.05651937085</v>
      </c>
      <c r="AN278" s="226"/>
      <c r="AO278" s="227">
        <v>1.9026025236593</v>
      </c>
      <c r="AP278" s="225"/>
      <c r="AQ278" s="226">
        <f t="shared" si="179"/>
        <v>1646.2417496268374</v>
      </c>
      <c r="AR278" s="226">
        <f t="shared" si="180"/>
        <v>1.7515841687855401E-3</v>
      </c>
      <c r="AS278" s="228">
        <f>AR278*'DADOS BASE'!W$38</f>
        <v>525431.05413413746</v>
      </c>
      <c r="AT278" s="225"/>
      <c r="AU278" s="227">
        <v>15.897115384615001</v>
      </c>
      <c r="AV278" s="227">
        <v>32</v>
      </c>
      <c r="AW278" s="226">
        <f t="shared" si="181"/>
        <v>3.9742788461537502</v>
      </c>
      <c r="AX278" s="226">
        <f>IF($AW$11&gt;0,(AW278/$AW$11)*'DADOS BASE'!W$40,0)</f>
        <v>714.08401341153535</v>
      </c>
      <c r="AY278" s="226">
        <f t="shared" si="182"/>
        <v>7.5614729624178958</v>
      </c>
      <c r="AZ278" s="226">
        <f t="shared" si="183"/>
        <v>3.9546742141124573E-4</v>
      </c>
      <c r="BA278" s="226">
        <f>AZ278*'DADOS BASE'!W$41</f>
        <v>2921.655480197317</v>
      </c>
      <c r="BB278" s="225"/>
      <c r="BC278" s="227">
        <v>0</v>
      </c>
      <c r="BD278" s="226">
        <f>IF($BC$11&gt;0,(BC278/$BC$11)*'DADOS BASE'!W$39,0)</f>
        <v>0</v>
      </c>
      <c r="BE278" s="187"/>
    </row>
    <row r="279" spans="2:57" x14ac:dyDescent="0.3">
      <c r="B279" s="184" t="s">
        <v>382</v>
      </c>
      <c r="C279" s="184" t="s">
        <v>404</v>
      </c>
      <c r="D279" s="184" t="s">
        <v>94</v>
      </c>
      <c r="E279" s="184">
        <v>2009</v>
      </c>
      <c r="F279" s="185"/>
      <c r="H279" s="186">
        <f ca="1">IF(AND(E279&gt;=2018,SUMIF('DADOS BASE'!$C$101:$D$104,D279,'DADOS BASE'!$H$101:$H$104)&gt;J279),
SUMIF('DADOS BASE'!$C$101:$D$104,D279,'DADOS BASE'!$H$101:$H$104),
J279)</f>
        <v>2415910.7998719378</v>
      </c>
      <c r="J279" s="186">
        <f t="shared" si="172"/>
        <v>2415910.7998719378</v>
      </c>
      <c r="K279" s="186"/>
      <c r="L279" s="188">
        <v>2452.4985439099</v>
      </c>
      <c r="M279" s="186">
        <f t="shared" si="173"/>
        <v>1.9133257058688924E-3</v>
      </c>
      <c r="N279" s="186">
        <f>L279*'DADOS BASE'!$I$29</f>
        <v>2415063.9267994929</v>
      </c>
      <c r="O279" s="187"/>
      <c r="P279" s="188">
        <v>0</v>
      </c>
      <c r="Q279" s="186">
        <f>P279*'DADOS BASE'!$I$33</f>
        <v>0</v>
      </c>
      <c r="R279" s="186"/>
      <c r="S279" s="188">
        <v>1.075</v>
      </c>
      <c r="T279" s="186">
        <f>S279*'DADOS BASE'!$I$37</f>
        <v>846.87307244487693</v>
      </c>
      <c r="U279" s="186"/>
      <c r="V279" s="186">
        <f t="shared" si="174"/>
        <v>846.87307244487693</v>
      </c>
      <c r="W279" s="187"/>
      <c r="X279" s="186"/>
      <c r="Y279" s="186"/>
      <c r="Z279" s="185"/>
      <c r="AA279" s="186"/>
      <c r="AB279" s="186"/>
      <c r="AC279" s="186"/>
      <c r="AD279" s="186"/>
      <c r="AE279" s="188">
        <v>1308</v>
      </c>
      <c r="AF279" s="188">
        <v>1095.9247199549</v>
      </c>
      <c r="AG279" s="186" t="s">
        <v>155</v>
      </c>
      <c r="AH279" s="189">
        <v>0.72699999999999998</v>
      </c>
      <c r="AI279" s="183">
        <f t="shared" si="175"/>
        <v>796.73727140721223</v>
      </c>
      <c r="AJ279" s="186">
        <f t="shared" si="176"/>
        <v>6.3033228758247652E-3</v>
      </c>
      <c r="AK279" s="186"/>
      <c r="AL279" s="186">
        <f t="shared" si="177"/>
        <v>178.54381606898616</v>
      </c>
      <c r="AM279" s="187">
        <f t="shared" si="178"/>
        <v>195670.58162508282</v>
      </c>
      <c r="AN279" s="186"/>
      <c r="AO279" s="188">
        <v>1.7261904761905</v>
      </c>
      <c r="AQ279" s="186">
        <f t="shared" si="179"/>
        <v>1891.7748142078892</v>
      </c>
      <c r="AR279" s="186">
        <f t="shared" si="180"/>
        <v>2.0128288061123812E-3</v>
      </c>
      <c r="AS279" s="187">
        <f>AR279*'DADOS BASE'!W$38</f>
        <v>603797.85352848575</v>
      </c>
      <c r="AU279" s="188">
        <v>1.075</v>
      </c>
      <c r="AV279" s="188">
        <v>10.75</v>
      </c>
      <c r="AW279" s="186">
        <f t="shared" si="181"/>
        <v>0.26874999999999999</v>
      </c>
      <c r="AX279" s="186">
        <f>IF($AW$11&gt;0,(AW279/$AW$11)*'DADOS BASE'!W$40,0)</f>
        <v>48.288025584837335</v>
      </c>
      <c r="AY279" s="186">
        <f t="shared" si="182"/>
        <v>0.46391369047619685</v>
      </c>
      <c r="AZ279" s="186">
        <f t="shared" si="183"/>
        <v>2.4262832366371557E-5</v>
      </c>
      <c r="BA279" s="186">
        <f>AZ279*'DADOS BASE'!W$41</f>
        <v>179.25025756951644</v>
      </c>
      <c r="BC279" s="188">
        <v>0</v>
      </c>
      <c r="BD279" s="186">
        <f>IF($BC$11&gt;0,(BC279/$BC$11)*'DADOS BASE'!W$39,0)</f>
        <v>0</v>
      </c>
      <c r="BE279" s="187"/>
    </row>
    <row r="280" spans="2:57" x14ac:dyDescent="0.3">
      <c r="B280" s="223" t="s">
        <v>382</v>
      </c>
      <c r="C280" s="223" t="s">
        <v>405</v>
      </c>
      <c r="D280" s="223" t="s">
        <v>94</v>
      </c>
      <c r="E280" s="223">
        <v>2018</v>
      </c>
      <c r="F280" s="224"/>
      <c r="G280" s="225"/>
      <c r="H280" s="226">
        <f ca="1">IF(AND(E280&gt;=2018,SUMIF('DADOS BASE'!$C$101:$D$104,D280,'DADOS BASE'!$H$101:$H$104)&gt;J280),
SUMIF('DADOS BASE'!$C$101:$D$104,D280,'DADOS BASE'!$H$101:$H$104),
J280)</f>
        <v>1667225.4683623263</v>
      </c>
      <c r="I280" s="225"/>
      <c r="J280" s="226">
        <f t="shared" si="172"/>
        <v>1667225.4683623263</v>
      </c>
      <c r="K280" s="226"/>
      <c r="L280" s="227">
        <v>1692.9782406187001</v>
      </c>
      <c r="M280" s="226">
        <f t="shared" si="173"/>
        <v>1.3207831642942872E-3</v>
      </c>
      <c r="N280" s="226">
        <f>L280*'DADOS BASE'!$I$29</f>
        <v>1667136.8421105589</v>
      </c>
      <c r="O280" s="228"/>
      <c r="P280" s="227">
        <v>0</v>
      </c>
      <c r="Q280" s="226">
        <f>P280*'DADOS BASE'!$I$33</f>
        <v>0</v>
      </c>
      <c r="R280" s="226"/>
      <c r="S280" s="227">
        <v>0.1125</v>
      </c>
      <c r="T280" s="226">
        <f>S280*'DADOS BASE'!$I$37</f>
        <v>88.626251767487119</v>
      </c>
      <c r="U280" s="226"/>
      <c r="V280" s="226">
        <f t="shared" si="174"/>
        <v>88.626251767487119</v>
      </c>
      <c r="W280" s="228"/>
      <c r="X280" s="226"/>
      <c r="Y280" s="226"/>
      <c r="Z280" s="224"/>
      <c r="AA280" s="226"/>
      <c r="AB280" s="226"/>
      <c r="AC280" s="226"/>
      <c r="AD280" s="226"/>
      <c r="AE280" s="227">
        <v>778</v>
      </c>
      <c r="AF280" s="227">
        <v>677.19129624747995</v>
      </c>
      <c r="AG280" s="226" t="s">
        <v>155</v>
      </c>
      <c r="AH280" s="229">
        <v>0.70399999999999996</v>
      </c>
      <c r="AI280" s="225">
        <f t="shared" si="175"/>
        <v>476.74267255822588</v>
      </c>
      <c r="AJ280" s="226">
        <f t="shared" si="176"/>
        <v>-2.4718940575010666E-2</v>
      </c>
      <c r="AK280" s="226"/>
      <c r="AL280" s="226">
        <f t="shared" si="177"/>
        <v>184.117783887455</v>
      </c>
      <c r="AM280" s="228">
        <f t="shared" si="178"/>
        <v>124682.96073295904</v>
      </c>
      <c r="AN280" s="226"/>
      <c r="AO280" s="227">
        <v>1.3295148247977999</v>
      </c>
      <c r="AP280" s="225"/>
      <c r="AQ280" s="226">
        <f t="shared" si="179"/>
        <v>900.33586758506328</v>
      </c>
      <c r="AR280" s="226">
        <f t="shared" si="180"/>
        <v>9.5794803685987282E-4</v>
      </c>
      <c r="AS280" s="228">
        <f>AR280*'DADOS BASE'!W$38</f>
        <v>287360.23982335837</v>
      </c>
      <c r="AT280" s="225"/>
      <c r="AU280" s="227">
        <v>0.1125</v>
      </c>
      <c r="AV280" s="227">
        <v>0.25</v>
      </c>
      <c r="AW280" s="226">
        <f t="shared" si="181"/>
        <v>2.8125000000000001E-2</v>
      </c>
      <c r="AX280" s="226">
        <f>IF($AW$11&gt;0,(AW280/$AW$11)*'DADOS BASE'!W$40,0)</f>
        <v>5.0533980263201865</v>
      </c>
      <c r="AY280" s="226">
        <f t="shared" si="182"/>
        <v>3.7392604447438124E-2</v>
      </c>
      <c r="AZ280" s="226">
        <f t="shared" si="183"/>
        <v>1.9556450091372787E-6</v>
      </c>
      <c r="BA280" s="226">
        <f>AZ280*'DADOS BASE'!W$41</f>
        <v>14.4480193535962</v>
      </c>
      <c r="BB280" s="225"/>
      <c r="BC280" s="227">
        <v>0</v>
      </c>
      <c r="BD280" s="226">
        <f>IF($BC$11&gt;0,(BC280/$BC$11)*'DADOS BASE'!W$39,0)</f>
        <v>0</v>
      </c>
      <c r="BE280" s="187"/>
    </row>
    <row r="281" spans="2:57" x14ac:dyDescent="0.3">
      <c r="B281" s="184" t="s">
        <v>382</v>
      </c>
      <c r="C281" s="184" t="s">
        <v>406</v>
      </c>
      <c r="D281" s="184" t="s">
        <v>94</v>
      </c>
      <c r="E281" s="184">
        <v>2011</v>
      </c>
      <c r="F281" s="185"/>
      <c r="H281" s="186">
        <f ca="1">IF(AND(E281&gt;=2018,SUMIF('DADOS BASE'!$C$101:$D$104,D281,'DADOS BASE'!$H$101:$H$104)&gt;J281),
SUMIF('DADOS BASE'!$C$101:$D$104,D281,'DADOS BASE'!$H$101:$H$104),
J281)</f>
        <v>2157344.3519120687</v>
      </c>
      <c r="J281" s="186">
        <f t="shared" si="172"/>
        <v>2157344.3519120687</v>
      </c>
      <c r="K281" s="186"/>
      <c r="L281" s="188">
        <v>2172.1296436924999</v>
      </c>
      <c r="M281" s="186">
        <f t="shared" si="173"/>
        <v>1.6945948832780963E-3</v>
      </c>
      <c r="N281" s="186">
        <f>L281*'DADOS BASE'!$I$29</f>
        <v>2138974.5408168179</v>
      </c>
      <c r="O281" s="187"/>
      <c r="P281" s="188">
        <v>0</v>
      </c>
      <c r="Q281" s="186">
        <f>P281*'DADOS BASE'!$I$33</f>
        <v>0</v>
      </c>
      <c r="R281" s="186"/>
      <c r="S281" s="188">
        <v>23.318189667295002</v>
      </c>
      <c r="T281" s="186">
        <f>S281*'DADOS BASE'!$I$37</f>
        <v>18369.811095250698</v>
      </c>
      <c r="U281" s="186"/>
      <c r="V281" s="186">
        <f t="shared" si="174"/>
        <v>18369.811095250698</v>
      </c>
      <c r="W281" s="187"/>
      <c r="X281" s="186"/>
      <c r="Y281" s="186"/>
      <c r="Z281" s="185"/>
      <c r="AA281" s="186"/>
      <c r="AB281" s="186"/>
      <c r="AC281" s="186"/>
      <c r="AD281" s="186"/>
      <c r="AE281" s="188">
        <v>1433</v>
      </c>
      <c r="AF281" s="188">
        <v>1177.7762436979001</v>
      </c>
      <c r="AG281" s="186" t="s">
        <v>155</v>
      </c>
      <c r="AH281" s="189">
        <v>0.76400000000000001</v>
      </c>
      <c r="AI281" s="183">
        <f t="shared" si="175"/>
        <v>899.82105018519565</v>
      </c>
      <c r="AJ281" s="186">
        <f t="shared" si="176"/>
        <v>5.6208703209777416E-2</v>
      </c>
      <c r="AK281" s="186"/>
      <c r="AL281" s="186">
        <f t="shared" si="177"/>
        <v>169.57699827405798</v>
      </c>
      <c r="AM281" s="187">
        <f t="shared" si="178"/>
        <v>199723.7600447853</v>
      </c>
      <c r="AN281" s="186"/>
      <c r="AO281" s="188">
        <v>1.3441509433962</v>
      </c>
      <c r="AQ281" s="186">
        <f t="shared" si="179"/>
        <v>1583.1090490761651</v>
      </c>
      <c r="AR281" s="186">
        <f t="shared" si="180"/>
        <v>1.6844116293682266E-3</v>
      </c>
      <c r="AS281" s="187">
        <f>AR281*'DADOS BASE'!W$38</f>
        <v>505280.9872267748</v>
      </c>
      <c r="AU281" s="188">
        <v>8.5123619934705008</v>
      </c>
      <c r="AV281" s="188">
        <v>16</v>
      </c>
      <c r="AW281" s="186">
        <f t="shared" si="181"/>
        <v>2.1280904983676252</v>
      </c>
      <c r="AX281" s="186">
        <f>IF($AW$11&gt;0,(AW281/$AW$11)*'DADOS BASE'!W$40,0)</f>
        <v>382.36758486334935</v>
      </c>
      <c r="AY281" s="186">
        <f t="shared" si="182"/>
        <v>2.8604748510133327</v>
      </c>
      <c r="AZ281" s="186">
        <f t="shared" si="183"/>
        <v>1.496037371242856E-4</v>
      </c>
      <c r="BA281" s="186">
        <f>AZ281*'DADOS BASE'!W$41</f>
        <v>1105.2505333243071</v>
      </c>
      <c r="BC281" s="188">
        <v>0</v>
      </c>
      <c r="BD281" s="186">
        <f>IF($BC$11&gt;0,(BC281/$BC$11)*'DADOS BASE'!W$39,0)</f>
        <v>0</v>
      </c>
      <c r="BE281" s="187"/>
    </row>
    <row r="282" spans="2:57" x14ac:dyDescent="0.3">
      <c r="B282" s="223" t="s">
        <v>382</v>
      </c>
      <c r="C282" s="223" t="s">
        <v>407</v>
      </c>
      <c r="D282" s="223" t="s">
        <v>94</v>
      </c>
      <c r="E282" s="223">
        <v>1944</v>
      </c>
      <c r="F282" s="224"/>
      <c r="G282" s="225"/>
      <c r="H282" s="226">
        <f ca="1">IF(AND(E282&gt;=2018,SUMIF('DADOS BASE'!$C$101:$D$104,D282,'DADOS BASE'!$H$101:$H$104)&gt;J282),
SUMIF('DADOS BASE'!$C$101:$D$104,D282,'DADOS BASE'!$H$101:$H$104),
J282)</f>
        <v>3905005.173839441</v>
      </c>
      <c r="I282" s="225"/>
      <c r="J282" s="226">
        <f t="shared" si="172"/>
        <v>3905005.173839441</v>
      </c>
      <c r="K282" s="226"/>
      <c r="L282" s="227">
        <v>3965.5345751006998</v>
      </c>
      <c r="M282" s="226">
        <f t="shared" si="173"/>
        <v>3.0937262975723871E-3</v>
      </c>
      <c r="N282" s="226">
        <f>L282*'DADOS BASE'!$I$29</f>
        <v>3905005.173839441</v>
      </c>
      <c r="O282" s="228"/>
      <c r="P282" s="227">
        <v>0</v>
      </c>
      <c r="Q282" s="226">
        <f>P282*'DADOS BASE'!$I$33</f>
        <v>0</v>
      </c>
      <c r="R282" s="226"/>
      <c r="S282" s="227">
        <v>0</v>
      </c>
      <c r="T282" s="226">
        <f>S282*'DADOS BASE'!$I$37</f>
        <v>0</v>
      </c>
      <c r="U282" s="226"/>
      <c r="V282" s="226">
        <f t="shared" si="174"/>
        <v>0</v>
      </c>
      <c r="W282" s="228"/>
      <c r="X282" s="226"/>
      <c r="Y282" s="226"/>
      <c r="Z282" s="224"/>
      <c r="AA282" s="226"/>
      <c r="AB282" s="226"/>
      <c r="AC282" s="226"/>
      <c r="AD282" s="226"/>
      <c r="AE282" s="227">
        <v>2523</v>
      </c>
      <c r="AF282" s="227">
        <v>1766.3395347226999</v>
      </c>
      <c r="AG282" s="226" t="s">
        <v>155</v>
      </c>
      <c r="AH282" s="229">
        <v>0.74099999999999999</v>
      </c>
      <c r="AI282" s="225">
        <f t="shared" si="175"/>
        <v>1308.8575952295207</v>
      </c>
      <c r="AJ282" s="226">
        <f t="shared" si="176"/>
        <v>2.5186439758941984E-2</v>
      </c>
      <c r="AK282" s="226"/>
      <c r="AL282" s="226">
        <f t="shared" si="177"/>
        <v>175.15096609252683</v>
      </c>
      <c r="AM282" s="228">
        <f t="shared" si="178"/>
        <v>309376.07595410524</v>
      </c>
      <c r="AN282" s="226"/>
      <c r="AO282" s="227">
        <v>1.7841563786007999</v>
      </c>
      <c r="AP282" s="225"/>
      <c r="AQ282" s="226">
        <f t="shared" si="179"/>
        <v>3151.4259476502743</v>
      </c>
      <c r="AR282" s="226">
        <f t="shared" si="180"/>
        <v>3.3530845638287538E-3</v>
      </c>
      <c r="AS282" s="228">
        <f>AR282*'DADOS BASE'!W$38</f>
        <v>1005840.76310475</v>
      </c>
      <c r="AT282" s="225"/>
      <c r="AU282" s="227">
        <v>0</v>
      </c>
      <c r="AV282" s="227">
        <v>0</v>
      </c>
      <c r="AW282" s="226">
        <f t="shared" si="181"/>
        <v>0</v>
      </c>
      <c r="AX282" s="226">
        <f>IF($AW$11&gt;0,(AW282/$AW$11)*'DADOS BASE'!W$40,0)</f>
        <v>0</v>
      </c>
      <c r="AY282" s="226">
        <f t="shared" si="182"/>
        <v>0</v>
      </c>
      <c r="AZ282" s="226">
        <f t="shared" si="183"/>
        <v>0</v>
      </c>
      <c r="BA282" s="226">
        <f>AZ282*'DADOS BASE'!W$41</f>
        <v>0</v>
      </c>
      <c r="BB282" s="225"/>
      <c r="BC282" s="227">
        <v>61</v>
      </c>
      <c r="BD282" s="226">
        <f>IF($BC$11&gt;0,(BC282/$BC$11)*'DADOS BASE'!W$39,0)</f>
        <v>329595.44476335333</v>
      </c>
      <c r="BE282" s="187"/>
    </row>
    <row r="283" spans="2:57" x14ac:dyDescent="0.3">
      <c r="B283" s="184" t="s">
        <v>382</v>
      </c>
      <c r="C283" s="184" t="s">
        <v>408</v>
      </c>
      <c r="D283" s="184" t="s">
        <v>94</v>
      </c>
      <c r="E283" s="184">
        <v>2010</v>
      </c>
      <c r="F283" s="185"/>
      <c r="H283" s="186">
        <f ca="1">IF(AND(E283&gt;=2018,SUMIF('DADOS BASE'!$C$101:$D$104,D283,'DADOS BASE'!$H$101:$H$104)&gt;J283),
SUMIF('DADOS BASE'!$C$101:$D$104,D283,'DADOS BASE'!$H$101:$H$104),
J283)</f>
        <v>1033013.1238487058</v>
      </c>
      <c r="J283" s="186">
        <f t="shared" si="172"/>
        <v>1033013.1238487058</v>
      </c>
      <c r="K283" s="186"/>
      <c r="L283" s="188">
        <v>1037.3243333957</v>
      </c>
      <c r="M283" s="186">
        <f t="shared" si="173"/>
        <v>8.0927237136913118E-4</v>
      </c>
      <c r="N283" s="186">
        <f>L283*'DADOS BASE'!$I$29</f>
        <v>1021490.7504007563</v>
      </c>
      <c r="O283" s="187"/>
      <c r="P283" s="188">
        <v>0</v>
      </c>
      <c r="Q283" s="186">
        <f>P283*'DADOS BASE'!$I$33</f>
        <v>0</v>
      </c>
      <c r="R283" s="186"/>
      <c r="S283" s="188">
        <v>14.626219512195</v>
      </c>
      <c r="T283" s="186">
        <f>S283*'DADOS BASE'!$I$37</f>
        <v>11522.373447949571</v>
      </c>
      <c r="U283" s="186"/>
      <c r="V283" s="186">
        <f t="shared" si="174"/>
        <v>11522.373447949571</v>
      </c>
      <c r="W283" s="187"/>
      <c r="X283" s="186"/>
      <c r="Y283" s="186"/>
      <c r="Z283" s="185"/>
      <c r="AA283" s="186"/>
      <c r="AB283" s="186"/>
      <c r="AC283" s="186"/>
      <c r="AD283" s="186"/>
      <c r="AE283" s="188">
        <v>1086</v>
      </c>
      <c r="AF283" s="188">
        <v>748.69885791924003</v>
      </c>
      <c r="AG283" s="186" t="s">
        <v>155</v>
      </c>
      <c r="AH283" s="189">
        <v>0.68400000000000005</v>
      </c>
      <c r="AI283" s="183">
        <f t="shared" si="175"/>
        <v>512.1100188167602</v>
      </c>
      <c r="AJ283" s="186">
        <f t="shared" si="176"/>
        <v>-5.1694821836606543E-2</v>
      </c>
      <c r="AK283" s="186"/>
      <c r="AL283" s="186">
        <f t="shared" si="177"/>
        <v>188.96471242525399</v>
      </c>
      <c r="AM283" s="187">
        <f t="shared" si="178"/>
        <v>141477.66437982529</v>
      </c>
      <c r="AN283" s="186"/>
      <c r="AO283" s="188">
        <v>1.5300982800983001</v>
      </c>
      <c r="AQ283" s="186">
        <f t="shared" si="179"/>
        <v>1145.5828348137907</v>
      </c>
      <c r="AR283" s="186">
        <f t="shared" si="180"/>
        <v>1.218888269567419E-3</v>
      </c>
      <c r="AS283" s="187">
        <f>AR283*'DADOS BASE'!W$38</f>
        <v>365635.72551274748</v>
      </c>
      <c r="AU283" s="188">
        <v>14.626219512195</v>
      </c>
      <c r="AV283" s="188">
        <v>123</v>
      </c>
      <c r="AW283" s="186">
        <f t="shared" si="181"/>
        <v>3.65655487804875</v>
      </c>
      <c r="AX283" s="186">
        <f>IF($AW$11&gt;0,(AW283/$AW$11)*'DADOS BASE'!W$40,0)</f>
        <v>656.99652280401801</v>
      </c>
      <c r="AY283" s="186">
        <f t="shared" si="182"/>
        <v>5.5948883299874419</v>
      </c>
      <c r="AZ283" s="186">
        <f t="shared" si="183"/>
        <v>2.9261442472135657E-4</v>
      </c>
      <c r="BA283" s="186">
        <f>AZ283*'DADOS BASE'!W$41</f>
        <v>2161.7925808429836</v>
      </c>
      <c r="BC283" s="188">
        <v>0</v>
      </c>
      <c r="BD283" s="186">
        <f>IF($BC$11&gt;0,(BC283/$BC$11)*'DADOS BASE'!W$39,0)</f>
        <v>0</v>
      </c>
      <c r="BE283" s="187"/>
    </row>
    <row r="284" spans="2:57" x14ac:dyDescent="0.3">
      <c r="B284" s="223" t="s">
        <v>382</v>
      </c>
      <c r="C284" s="223" t="s">
        <v>409</v>
      </c>
      <c r="D284" s="223" t="s">
        <v>94</v>
      </c>
      <c r="E284" s="223">
        <v>2010</v>
      </c>
      <c r="F284" s="224"/>
      <c r="G284" s="225"/>
      <c r="H284" s="226">
        <f ca="1">IF(AND(E284&gt;=2018,SUMIF('DADOS BASE'!$C$101:$D$104,D284,'DADOS BASE'!$H$101:$H$104)&gt;J284),
SUMIF('DADOS BASE'!$C$101:$D$104,D284,'DADOS BASE'!$H$101:$H$104),
J284)</f>
        <v>1356864.6736980039</v>
      </c>
      <c r="I284" s="225"/>
      <c r="J284" s="226">
        <f t="shared" si="172"/>
        <v>1356864.6736980039</v>
      </c>
      <c r="K284" s="226"/>
      <c r="L284" s="227">
        <v>1377.5367089029</v>
      </c>
      <c r="M284" s="226">
        <f t="shared" si="173"/>
        <v>1.0746903000072817E-3</v>
      </c>
      <c r="N284" s="226">
        <f>L284*'DADOS BASE'!$I$29</f>
        <v>1356510.1686909338</v>
      </c>
      <c r="O284" s="228"/>
      <c r="P284" s="227">
        <v>0</v>
      </c>
      <c r="Q284" s="226">
        <f>P284*'DADOS BASE'!$I$33</f>
        <v>0</v>
      </c>
      <c r="R284" s="226"/>
      <c r="S284" s="227">
        <v>0.45</v>
      </c>
      <c r="T284" s="226">
        <f>S284*'DADOS BASE'!$I$37</f>
        <v>354.50500706994848</v>
      </c>
      <c r="U284" s="226"/>
      <c r="V284" s="226">
        <f t="shared" si="174"/>
        <v>354.50500706994848</v>
      </c>
      <c r="W284" s="228"/>
      <c r="X284" s="226"/>
      <c r="Y284" s="226"/>
      <c r="Z284" s="224"/>
      <c r="AA284" s="226"/>
      <c r="AB284" s="226"/>
      <c r="AC284" s="226"/>
      <c r="AD284" s="226"/>
      <c r="AE284" s="227">
        <v>1052</v>
      </c>
      <c r="AF284" s="227">
        <v>807.82074937028995</v>
      </c>
      <c r="AG284" s="226" t="s">
        <v>155</v>
      </c>
      <c r="AH284" s="229">
        <v>0.73099999999999998</v>
      </c>
      <c r="AI284" s="225">
        <f t="shared" si="175"/>
        <v>590.51696778968198</v>
      </c>
      <c r="AJ284" s="226">
        <f t="shared" si="176"/>
        <v>1.169849912814397E-2</v>
      </c>
      <c r="AK284" s="226"/>
      <c r="AL284" s="226">
        <f t="shared" si="177"/>
        <v>177.57443036142635</v>
      </c>
      <c r="AM284" s="228">
        <f t="shared" si="178"/>
        <v>143448.30940356982</v>
      </c>
      <c r="AN284" s="226"/>
      <c r="AO284" s="227">
        <v>0.56401869158879003</v>
      </c>
      <c r="AP284" s="225"/>
      <c r="AQ284" s="226">
        <f t="shared" si="179"/>
        <v>455.62600209810682</v>
      </c>
      <c r="AR284" s="226">
        <f t="shared" si="180"/>
        <v>4.8478134656893099E-4</v>
      </c>
      <c r="AS284" s="228">
        <f>AR284*'DADOS BASE'!W$38</f>
        <v>145422.17182111749</v>
      </c>
      <c r="AT284" s="225"/>
      <c r="AU284" s="227">
        <v>0.45</v>
      </c>
      <c r="AV284" s="227">
        <v>3</v>
      </c>
      <c r="AW284" s="226">
        <f t="shared" si="181"/>
        <v>0.1125</v>
      </c>
      <c r="AX284" s="226">
        <f>IF($AW$11&gt;0,(AW284/$AW$11)*'DADOS BASE'!W$40,0)</f>
        <v>20.213592105280746</v>
      </c>
      <c r="AY284" s="226">
        <f t="shared" si="182"/>
        <v>6.3452102803738877E-2</v>
      </c>
      <c r="AZ284" s="226">
        <f t="shared" si="183"/>
        <v>3.318564994364794E-6</v>
      </c>
      <c r="BA284" s="226">
        <f>AZ284*'DADOS BASE'!W$41</f>
        <v>24.517072904709231</v>
      </c>
      <c r="BB284" s="225"/>
      <c r="BC284" s="227">
        <v>0</v>
      </c>
      <c r="BD284" s="226">
        <f>IF($BC$11&gt;0,(BC284/$BC$11)*'DADOS BASE'!W$39,0)</f>
        <v>0</v>
      </c>
      <c r="BE284" s="187"/>
    </row>
    <row r="285" spans="2:57" x14ac:dyDescent="0.3">
      <c r="B285" s="184" t="s">
        <v>382</v>
      </c>
      <c r="C285" s="184" t="s">
        <v>410</v>
      </c>
      <c r="D285" s="184" t="s">
        <v>94</v>
      </c>
      <c r="E285" s="184">
        <v>2014</v>
      </c>
      <c r="F285" s="185"/>
      <c r="H285" s="186">
        <f ca="1">IF(AND(E285&gt;=2018,SUMIF('DADOS BASE'!$C$101:$D$104,D285,'DADOS BASE'!$H$101:$H$104)&gt;J285),
SUMIF('DADOS BASE'!$C$101:$D$104,D285,'DADOS BASE'!$H$101:$H$104),
J285)</f>
        <v>1936850.0338893791</v>
      </c>
      <c r="J285" s="186">
        <f t="shared" si="172"/>
        <v>1936850.0338893791</v>
      </c>
      <c r="K285" s="186"/>
      <c r="L285" s="188">
        <v>1965.7321126485999</v>
      </c>
      <c r="M285" s="186">
        <f t="shared" si="173"/>
        <v>1.5335730948025006E-3</v>
      </c>
      <c r="N285" s="186">
        <f>L285*'DADOS BASE'!$I$29</f>
        <v>1935727.4347003242</v>
      </c>
      <c r="O285" s="187"/>
      <c r="P285" s="188">
        <v>0</v>
      </c>
      <c r="Q285" s="186">
        <f>P285*'DADOS BASE'!$I$33</f>
        <v>0</v>
      </c>
      <c r="R285" s="186"/>
      <c r="S285" s="188">
        <v>1.425</v>
      </c>
      <c r="T285" s="186">
        <f>S285*'DADOS BASE'!$I$37</f>
        <v>1122.5991890548369</v>
      </c>
      <c r="U285" s="186"/>
      <c r="V285" s="186">
        <f t="shared" si="174"/>
        <v>1122.5991890548369</v>
      </c>
      <c r="W285" s="187"/>
      <c r="X285" s="186"/>
      <c r="Y285" s="186"/>
      <c r="Z285" s="185"/>
      <c r="AA285" s="186"/>
      <c r="AB285" s="186"/>
      <c r="AC285" s="186"/>
      <c r="AD285" s="186"/>
      <c r="AE285" s="188">
        <v>1160</v>
      </c>
      <c r="AF285" s="188">
        <v>794.04003523618996</v>
      </c>
      <c r="AG285" s="186" t="s">
        <v>155</v>
      </c>
      <c r="AH285" s="189">
        <v>0.71499999999999997</v>
      </c>
      <c r="AI285" s="183">
        <f t="shared" si="175"/>
        <v>567.73862519387581</v>
      </c>
      <c r="AJ285" s="186">
        <f t="shared" si="176"/>
        <v>-9.8822058811328505E-3</v>
      </c>
      <c r="AK285" s="186"/>
      <c r="AL285" s="186">
        <f t="shared" si="177"/>
        <v>181.45197319166556</v>
      </c>
      <c r="AM285" s="187">
        <f t="shared" si="178"/>
        <v>144080.13118678631</v>
      </c>
      <c r="AN285" s="186"/>
      <c r="AO285" s="188">
        <v>1.3162705667276</v>
      </c>
      <c r="AQ285" s="186">
        <f t="shared" si="179"/>
        <v>1045.1715271847434</v>
      </c>
      <c r="AR285" s="186">
        <f t="shared" si="180"/>
        <v>1.1120516783741988E-3</v>
      </c>
      <c r="AS285" s="187">
        <f>AR285*'DADOS BASE'!W$38</f>
        <v>333587.44388796383</v>
      </c>
      <c r="AU285" s="188">
        <v>1.425</v>
      </c>
      <c r="AV285" s="188">
        <v>9.25</v>
      </c>
      <c r="AW285" s="186">
        <f t="shared" si="181"/>
        <v>0.35625000000000001</v>
      </c>
      <c r="AX285" s="186">
        <f>IF($AW$11&gt;0,(AW285/$AW$11)*'DADOS BASE'!W$40,0)</f>
        <v>64.009708333389028</v>
      </c>
      <c r="AY285" s="186">
        <f t="shared" si="182"/>
        <v>0.46892138939670752</v>
      </c>
      <c r="AZ285" s="186">
        <f t="shared" si="183"/>
        <v>2.452473659973206E-5</v>
      </c>
      <c r="BA285" s="186">
        <f>AZ285*'DADOS BASE'!W$41</f>
        <v>181.18516774733578</v>
      </c>
      <c r="BC285" s="188">
        <v>0</v>
      </c>
      <c r="BD285" s="186">
        <f>IF($BC$11&gt;0,(BC285/$BC$11)*'DADOS BASE'!W$39,0)</f>
        <v>0</v>
      </c>
      <c r="BE285" s="187"/>
    </row>
    <row r="286" spans="2:57" x14ac:dyDescent="0.3">
      <c r="B286" s="223" t="s">
        <v>382</v>
      </c>
      <c r="C286" s="223" t="s">
        <v>411</v>
      </c>
      <c r="D286" s="223" t="s">
        <v>92</v>
      </c>
      <c r="E286" s="223">
        <v>1947</v>
      </c>
      <c r="F286" s="224"/>
      <c r="G286" s="225"/>
      <c r="H286" s="226">
        <f ca="1">IF(AND(E286&gt;=2018,SUMIF('DADOS BASE'!$C$101:$D$104,D286,'DADOS BASE'!$H$101:$H$104)&gt;J286),
SUMIF('DADOS BASE'!$C$101:$D$104,D286,'DADOS BASE'!$H$101:$H$104),
J286)</f>
        <v>3931837.631976916</v>
      </c>
      <c r="I286" s="225"/>
      <c r="J286" s="226">
        <f t="shared" si="172"/>
        <v>3931837.631976916</v>
      </c>
      <c r="K286" s="226"/>
      <c r="L286" s="227">
        <v>3991.7429488523999</v>
      </c>
      <c r="M286" s="226">
        <f t="shared" si="173"/>
        <v>3.1141728561779646E-3</v>
      </c>
      <c r="N286" s="226">
        <f>L286*'DADOS BASE'!$I$29</f>
        <v>3930813.5064009363</v>
      </c>
      <c r="O286" s="228"/>
      <c r="P286" s="227">
        <v>0</v>
      </c>
      <c r="Q286" s="226">
        <f>P286*'DADOS BASE'!$I$33</f>
        <v>0</v>
      </c>
      <c r="R286" s="226"/>
      <c r="S286" s="227">
        <v>1.3</v>
      </c>
      <c r="T286" s="226">
        <f>S286*'DADOS BASE'!$I$37</f>
        <v>1024.1255759798512</v>
      </c>
      <c r="U286" s="226"/>
      <c r="V286" s="226">
        <f t="shared" si="174"/>
        <v>1024.1255759798512</v>
      </c>
      <c r="W286" s="228"/>
      <c r="X286" s="226"/>
      <c r="Y286" s="226"/>
      <c r="Z286" s="224"/>
      <c r="AA286" s="226"/>
      <c r="AB286" s="226"/>
      <c r="AC286" s="226"/>
      <c r="AD286" s="226"/>
      <c r="AE286" s="227">
        <v>1851</v>
      </c>
      <c r="AF286" s="227">
        <v>1604.5386046367</v>
      </c>
      <c r="AG286" s="226" t="s">
        <v>155</v>
      </c>
      <c r="AH286" s="229">
        <v>0.63800000000000001</v>
      </c>
      <c r="AI286" s="225">
        <f t="shared" si="175"/>
        <v>1023.6956297582146</v>
      </c>
      <c r="AJ286" s="226">
        <f t="shared" si="176"/>
        <v>-0.1137393487382774</v>
      </c>
      <c r="AK286" s="226"/>
      <c r="AL286" s="226">
        <f t="shared" si="177"/>
        <v>200.11264806219171</v>
      </c>
      <c r="AM286" s="228">
        <f t="shared" si="178"/>
        <v>321088.46909186413</v>
      </c>
      <c r="AN286" s="226"/>
      <c r="AO286" s="227">
        <v>1.8848666303756001</v>
      </c>
      <c r="AP286" s="225"/>
      <c r="AQ286" s="226">
        <f t="shared" si="179"/>
        <v>3024.3412730291438</v>
      </c>
      <c r="AR286" s="226">
        <f t="shared" si="180"/>
        <v>3.2178677864556299E-3</v>
      </c>
      <c r="AS286" s="228">
        <f>AR286*'DADOS BASE'!W$38</f>
        <v>965279.14172343665</v>
      </c>
      <c r="AT286" s="225"/>
      <c r="AU286" s="227">
        <v>1.3</v>
      </c>
      <c r="AV286" s="227">
        <v>6.5</v>
      </c>
      <c r="AW286" s="226">
        <f t="shared" si="181"/>
        <v>0.32500000000000001</v>
      </c>
      <c r="AX286" s="226">
        <f>IF($AW$11&gt;0,(AW286/$AW$11)*'DADOS BASE'!W$40,0)</f>
        <v>58.394821637477712</v>
      </c>
      <c r="AY286" s="226">
        <f t="shared" si="182"/>
        <v>0.61258165487207006</v>
      </c>
      <c r="AZ286" s="226">
        <f t="shared" si="183"/>
        <v>3.2038213805716784E-5</v>
      </c>
      <c r="BA286" s="226">
        <f>AZ286*'DADOS BASE'!W$41</f>
        <v>236.69363864960835</v>
      </c>
      <c r="BB286" s="225"/>
      <c r="BC286" s="227">
        <v>163</v>
      </c>
      <c r="BD286" s="226">
        <f>IF($BC$11&gt;0,(BC286/$BC$11)*'DADOS BASE'!W$39,0)</f>
        <v>880722.25403978012</v>
      </c>
      <c r="BE286" s="187"/>
    </row>
    <row r="287" spans="2:57" x14ac:dyDescent="0.3">
      <c r="F287" s="185"/>
      <c r="H287" s="186"/>
      <c r="J287" s="186"/>
      <c r="K287" s="186"/>
      <c r="L287" s="186"/>
      <c r="M287" s="186"/>
      <c r="N287" s="186"/>
      <c r="O287" s="187"/>
      <c r="P287" s="186"/>
      <c r="Q287" s="186"/>
      <c r="R287" s="186"/>
      <c r="S287" s="186"/>
      <c r="T287" s="186"/>
      <c r="U287" s="186"/>
      <c r="V287" s="186"/>
      <c r="W287" s="187"/>
      <c r="X287" s="186"/>
      <c r="Y287" s="186"/>
      <c r="Z287" s="185"/>
      <c r="AA287" s="186"/>
      <c r="AB287" s="186"/>
      <c r="AC287" s="186"/>
      <c r="AD287" s="186"/>
      <c r="AE287" s="186"/>
      <c r="AF287" s="186"/>
      <c r="AG287" s="186"/>
      <c r="AH287" s="185"/>
      <c r="AJ287" s="186"/>
      <c r="AK287" s="186"/>
      <c r="AL287" s="186"/>
      <c r="AM287" s="187"/>
      <c r="AN287" s="186"/>
      <c r="AO287" s="186"/>
      <c r="AQ287" s="186"/>
      <c r="AR287" s="186"/>
      <c r="AS287" s="187"/>
      <c r="AU287" s="186"/>
      <c r="AV287" s="186"/>
      <c r="AW287" s="186"/>
      <c r="AX287" s="186"/>
      <c r="AY287" s="186"/>
      <c r="AZ287" s="186"/>
      <c r="BA287" s="186"/>
      <c r="BC287" s="186"/>
      <c r="BD287" s="186"/>
      <c r="BE287" s="187"/>
    </row>
    <row r="288" spans="2:57" x14ac:dyDescent="0.3">
      <c r="B288" s="209" t="s">
        <v>382</v>
      </c>
      <c r="C288" s="209" t="s">
        <v>412</v>
      </c>
      <c r="D288" s="211" t="s">
        <v>154</v>
      </c>
      <c r="E288" s="211"/>
      <c r="F288" s="210"/>
      <c r="G288" s="211"/>
      <c r="H288" s="212">
        <f ca="1">SUM(H289:H302)</f>
        <v>27011637.789176609</v>
      </c>
      <c r="I288" s="211"/>
      <c r="J288" s="212">
        <f>SUM(J289:J302)</f>
        <v>27011637.789176609</v>
      </c>
      <c r="K288" s="212"/>
      <c r="L288" s="212">
        <f>SUM(L289:L302)</f>
        <v>22976.481787357981</v>
      </c>
      <c r="M288" s="212">
        <f>SUM(M289:M302)</f>
        <v>1.7925186273136284E-2</v>
      </c>
      <c r="N288" s="212">
        <f>SUM(N289:N302)</f>
        <v>22625771.773527455</v>
      </c>
      <c r="O288" s="214"/>
      <c r="P288" s="212">
        <f>SUM(P289:P302)</f>
        <v>3523.4585487806999</v>
      </c>
      <c r="Q288" s="212">
        <f>SUM(Q289:Q302)</f>
        <v>867419.23454595311</v>
      </c>
      <c r="R288" s="212"/>
      <c r="S288" s="212">
        <f>SUM(S289:S302)</f>
        <v>4466.2304337609448</v>
      </c>
      <c r="T288" s="212">
        <f>SUM(T289:T302)</f>
        <v>3518446.7811032063</v>
      </c>
      <c r="U288" s="212"/>
      <c r="V288" s="212">
        <f>SUM(V289:V302)</f>
        <v>4385866.0156491594</v>
      </c>
      <c r="W288" s="214"/>
      <c r="X288" s="212">
        <f>SUMIF(INDICADORES!$D$13:$D$53,C288,INDICADORES!$L$13:$L$53)</f>
        <v>2.7979617740659664E-2</v>
      </c>
      <c r="Y288" s="212">
        <f>X288*'DADOS BASE'!$I$79</f>
        <v>1161803.7259559794</v>
      </c>
      <c r="Z288" s="210">
        <f>SUMIF(INDICADORES!$D$13:$D$53,C288,INDICADORES!$R$13:$R$53)</f>
        <v>3.1706688062353133E-2</v>
      </c>
      <c r="AA288" s="212">
        <f>Z288*'DADOS BASE'!$I$84</f>
        <v>1316563.6739573753</v>
      </c>
      <c r="AB288" s="212">
        <f>SUMIF(INDICADORES!$D$13:$D$53,C288,INDICADORES!$Z$13:$Z$53)</f>
        <v>1.911810195276771E-2</v>
      </c>
      <c r="AC288" s="212">
        <f>AB288*'DADOS BASE'!$I$89</f>
        <v>1587690.1741694876</v>
      </c>
      <c r="AD288" s="212"/>
      <c r="AE288" s="212">
        <f>SUM(AE289:AE302)</f>
        <v>13012</v>
      </c>
      <c r="AF288" s="212">
        <f>SUM(AF289:AF302)</f>
        <v>9911.1240367940009</v>
      </c>
      <c r="AG288" s="212" t="s">
        <v>155</v>
      </c>
      <c r="AH288" s="210"/>
      <c r="AI288" s="211"/>
      <c r="AJ288" s="212"/>
      <c r="AK288" s="212"/>
      <c r="AL288" s="212"/>
      <c r="AM288" s="214">
        <f>SUM(AM289:AM302)</f>
        <v>1870947.0402998724</v>
      </c>
      <c r="AN288" s="212"/>
      <c r="AO288" s="212"/>
      <c r="AP288" s="211"/>
      <c r="AQ288" s="212">
        <f>SUM(AQ289:AQ302)</f>
        <v>17811.07131557004</v>
      </c>
      <c r="AR288" s="212"/>
      <c r="AS288" s="214">
        <f>SUM(AS289:AS302)</f>
        <v>5684760.4422130622</v>
      </c>
      <c r="AT288" s="211"/>
      <c r="AU288" s="212">
        <f t="shared" ref="AU288:BA288" si="184">SUM(AU289:AU302)</f>
        <v>2322.0062462597921</v>
      </c>
      <c r="AV288" s="212">
        <f t="shared" si="184"/>
        <v>2685.25</v>
      </c>
      <c r="AW288" s="212">
        <f t="shared" si="184"/>
        <v>580.50156156494802</v>
      </c>
      <c r="AX288" s="212">
        <f t="shared" si="184"/>
        <v>104302.41583957672</v>
      </c>
      <c r="AY288" s="212">
        <f t="shared" si="184"/>
        <v>876.60196897997264</v>
      </c>
      <c r="AZ288" s="212">
        <f t="shared" si="184"/>
        <v>4.5846559526105647E-2</v>
      </c>
      <c r="BA288" s="212">
        <f t="shared" si="184"/>
        <v>338707.67763786798</v>
      </c>
      <c r="BB288" s="211"/>
      <c r="BC288" s="212">
        <f>SUM(BC289:BC302)</f>
        <v>259.5</v>
      </c>
      <c r="BD288" s="212">
        <f>SUM(BD289:BD302)</f>
        <v>1402131.4412473801</v>
      </c>
      <c r="BE288" s="187"/>
    </row>
    <row r="289" spans="2:57" x14ac:dyDescent="0.3">
      <c r="B289" s="216" t="s">
        <v>382</v>
      </c>
      <c r="C289" s="218" t="s">
        <v>156</v>
      </c>
      <c r="D289" s="218" t="s">
        <v>157</v>
      </c>
      <c r="E289" s="218"/>
      <c r="F289" s="217"/>
      <c r="G289" s="218"/>
      <c r="H289" s="219"/>
      <c r="I289" s="218"/>
      <c r="J289" s="219"/>
      <c r="K289" s="219"/>
      <c r="L289" s="219">
        <v>0</v>
      </c>
      <c r="M289" s="219">
        <v>0</v>
      </c>
      <c r="N289" s="219">
        <v>0</v>
      </c>
      <c r="O289" s="221"/>
      <c r="P289" s="219"/>
      <c r="Q289" s="219"/>
      <c r="R289" s="219"/>
      <c r="S289" s="219"/>
      <c r="T289" s="219"/>
      <c r="U289" s="219"/>
      <c r="V289" s="219"/>
      <c r="W289" s="221"/>
      <c r="X289" s="219"/>
      <c r="Y289" s="219"/>
      <c r="Z289" s="217"/>
      <c r="AA289" s="219"/>
      <c r="AB289" s="219"/>
      <c r="AC289" s="219"/>
      <c r="AD289" s="219"/>
      <c r="AE289" s="219"/>
      <c r="AF289" s="219"/>
      <c r="AG289" s="219" t="s">
        <v>155</v>
      </c>
      <c r="AH289" s="217"/>
      <c r="AI289" s="218"/>
      <c r="AJ289" s="219"/>
      <c r="AK289" s="219"/>
      <c r="AL289" s="219"/>
      <c r="AM289" s="221"/>
      <c r="AN289" s="219"/>
      <c r="AO289" s="219"/>
      <c r="AP289" s="218"/>
      <c r="AQ289" s="219"/>
      <c r="AR289" s="219"/>
      <c r="AS289" s="221"/>
      <c r="AT289" s="218"/>
      <c r="AU289" s="219"/>
      <c r="AV289" s="219"/>
      <c r="AW289" s="219"/>
      <c r="AX289" s="219"/>
      <c r="AY289" s="219"/>
      <c r="AZ289" s="219"/>
      <c r="BA289" s="219"/>
      <c r="BB289" s="218"/>
      <c r="BC289" s="219"/>
      <c r="BD289" s="219"/>
      <c r="BE289" s="187"/>
    </row>
    <row r="290" spans="2:57" x14ac:dyDescent="0.3">
      <c r="B290" s="223" t="s">
        <v>382</v>
      </c>
      <c r="C290" s="223" t="s">
        <v>413</v>
      </c>
      <c r="D290" s="223" t="s">
        <v>92</v>
      </c>
      <c r="E290" s="223">
        <v>2010</v>
      </c>
      <c r="F290" s="224"/>
      <c r="G290" s="225"/>
      <c r="H290" s="226">
        <f ca="1">IF(AND(E290&gt;=2018,SUMIF('DADOS BASE'!$C$101:$D$104,D290,'DADOS BASE'!$H$101:$H$104)&gt;J290),
SUMIF('DADOS BASE'!$C$101:$D$104,D290,'DADOS BASE'!$H$101:$H$104),
J290)</f>
        <v>1975059.3280207356</v>
      </c>
      <c r="I290" s="225"/>
      <c r="J290" s="226">
        <f t="shared" ref="J290:J302" si="185">N290+Q290+T290</f>
        <v>1975059.3280207356</v>
      </c>
      <c r="K290" s="226"/>
      <c r="L290" s="227">
        <v>1980.7107687905</v>
      </c>
      <c r="M290" s="226">
        <f t="shared" ref="M290:M302" si="186">L290/$L$11</f>
        <v>1.5452587481566422E-3</v>
      </c>
      <c r="N290" s="226">
        <f>L290*'DADOS BASE'!$I$29</f>
        <v>1950477.4585933313</v>
      </c>
      <c r="O290" s="228"/>
      <c r="P290" s="227">
        <v>0</v>
      </c>
      <c r="Q290" s="226">
        <f>P290*'DADOS BASE'!$I$33</f>
        <v>0</v>
      </c>
      <c r="R290" s="226"/>
      <c r="S290" s="227">
        <v>31.20362483385</v>
      </c>
      <c r="T290" s="226">
        <f>S290*'DADOS BASE'!$I$37</f>
        <v>24581.869427404476</v>
      </c>
      <c r="U290" s="226"/>
      <c r="V290" s="226">
        <f t="shared" ref="V290:V302" si="187">T290+Q290</f>
        <v>24581.869427404476</v>
      </c>
      <c r="W290" s="228"/>
      <c r="X290" s="226"/>
      <c r="Y290" s="226"/>
      <c r="Z290" s="224"/>
      <c r="AA290" s="226"/>
      <c r="AB290" s="226"/>
      <c r="AC290" s="226"/>
      <c r="AD290" s="226"/>
      <c r="AE290" s="227">
        <v>1070</v>
      </c>
      <c r="AF290" s="227">
        <v>785.17166357114002</v>
      </c>
      <c r="AG290" s="226" t="s">
        <v>155</v>
      </c>
      <c r="AH290" s="229">
        <v>0.64200000000000002</v>
      </c>
      <c r="AI290" s="225">
        <f t="shared" ref="AI290:AI302" si="188">AF290*AH290</f>
        <v>504.0802080126719</v>
      </c>
      <c r="AJ290" s="226">
        <f t="shared" ref="AJ290:AJ302" si="189">(AH290-$AI$12)*$AJ$12</f>
        <v>-0.10834417248595819</v>
      </c>
      <c r="AK290" s="226"/>
      <c r="AL290" s="226">
        <f t="shared" ref="AL290:AL302" si="190">$AL$11-(AJ290*$AL$11)</f>
        <v>199.1432623546319</v>
      </c>
      <c r="AM290" s="228">
        <f t="shared" ref="AM290:AM302" si="191">AF290*AL290</f>
        <v>156361.64659197032</v>
      </c>
      <c r="AN290" s="226"/>
      <c r="AO290" s="227">
        <v>2.0141342756184</v>
      </c>
      <c r="AP290" s="225"/>
      <c r="AQ290" s="226">
        <f t="shared" ref="AQ290:AQ302" si="192">AF290*AO290</f>
        <v>1581.4411598429522</v>
      </c>
      <c r="AR290" s="226">
        <f t="shared" ref="AR290:AR302" si="193">AQ290/$AQ$11</f>
        <v>1.6826370125011438E-3</v>
      </c>
      <c r="AS290" s="228">
        <f>AR290*'DADOS BASE'!W$38</f>
        <v>504748.64694431954</v>
      </c>
      <c r="AT290" s="225"/>
      <c r="AU290" s="227">
        <v>27.152224560625999</v>
      </c>
      <c r="AV290" s="227">
        <v>53.75</v>
      </c>
      <c r="AW290" s="226">
        <f t="shared" ref="AW290:AW302" si="194">AU290/4</f>
        <v>6.7880561401564998</v>
      </c>
      <c r="AX290" s="226">
        <f>IF($AW$11&gt;0,(AW290/$AW$11)*'DADOS BASE'!W$40,0)</f>
        <v>1219.6533155988438</v>
      </c>
      <c r="AY290" s="226">
        <f t="shared" ref="AY290:AY302" si="195">AO290*AW290</f>
        <v>13.672056536711144</v>
      </c>
      <c r="AZ290" s="226">
        <f t="shared" ref="AZ290:AZ302" si="196">IF($AY$11&gt;0,AY290/$AY$11,0)</f>
        <v>7.1505287010019262E-4</v>
      </c>
      <c r="BA290" s="226">
        <f>AZ290*'DADOS BASE'!W$41</f>
        <v>5282.706042140846</v>
      </c>
      <c r="BB290" s="225"/>
      <c r="BC290" s="227">
        <v>23</v>
      </c>
      <c r="BD290" s="226">
        <f>IF($BC$11&gt;0,(BC290/$BC$11)*'DADOS BASE'!W$39,0)</f>
        <v>124273.69228782173</v>
      </c>
      <c r="BE290" s="187"/>
    </row>
    <row r="291" spans="2:57" x14ac:dyDescent="0.3">
      <c r="B291" s="184" t="s">
        <v>382</v>
      </c>
      <c r="C291" s="184" t="s">
        <v>414</v>
      </c>
      <c r="D291" s="184" t="s">
        <v>94</v>
      </c>
      <c r="E291" s="184">
        <v>2010</v>
      </c>
      <c r="F291" s="185"/>
      <c r="H291" s="186">
        <f ca="1">IF(AND(E291&gt;=2018,SUMIF('DADOS BASE'!$C$101:$D$104,D291,'DADOS BASE'!$H$101:$H$104)&gt;J291),
SUMIF('DADOS BASE'!$C$101:$D$104,D291,'DADOS BASE'!$H$101:$H$104),
J291)</f>
        <v>2075771.0367007111</v>
      </c>
      <c r="J291" s="186">
        <f t="shared" si="185"/>
        <v>2075771.0367007111</v>
      </c>
      <c r="K291" s="186"/>
      <c r="L291" s="188">
        <v>2089.9697472508001</v>
      </c>
      <c r="M291" s="186">
        <f t="shared" si="186"/>
        <v>1.6304975396756751E-3</v>
      </c>
      <c r="N291" s="186">
        <f>L291*'DADOS BASE'!$I$29</f>
        <v>2058068.7222920093</v>
      </c>
      <c r="O291" s="187"/>
      <c r="P291" s="188">
        <v>0</v>
      </c>
      <c r="Q291" s="186">
        <f>P291*'DADOS BASE'!$I$33</f>
        <v>0</v>
      </c>
      <c r="R291" s="186"/>
      <c r="S291" s="188">
        <v>22.470885671704998</v>
      </c>
      <c r="T291" s="186">
        <f>S291*'DADOS BASE'!$I$37</f>
        <v>17702.314408701743</v>
      </c>
      <c r="U291" s="186"/>
      <c r="V291" s="186">
        <f t="shared" si="187"/>
        <v>17702.314408701743</v>
      </c>
      <c r="W291" s="187"/>
      <c r="X291" s="186"/>
      <c r="Y291" s="186"/>
      <c r="Z291" s="185"/>
      <c r="AA291" s="186"/>
      <c r="AB291" s="186"/>
      <c r="AC291" s="186"/>
      <c r="AD291" s="186"/>
      <c r="AE291" s="188">
        <v>1354</v>
      </c>
      <c r="AF291" s="188">
        <v>1016.2717662698</v>
      </c>
      <c r="AG291" s="186" t="s">
        <v>155</v>
      </c>
      <c r="AH291" s="189">
        <v>0.66300000000000003</v>
      </c>
      <c r="AI291" s="183">
        <f t="shared" si="188"/>
        <v>673.7881810368774</v>
      </c>
      <c r="AJ291" s="186">
        <f t="shared" si="189"/>
        <v>-8.0019497161282371E-2</v>
      </c>
      <c r="AK291" s="186"/>
      <c r="AL291" s="186">
        <f t="shared" si="190"/>
        <v>194.05398738994293</v>
      </c>
      <c r="AM291" s="187">
        <f t="shared" si="191"/>
        <v>197211.58851647479</v>
      </c>
      <c r="AN291" s="186"/>
      <c r="AO291" s="188">
        <v>1.6585264900662</v>
      </c>
      <c r="AQ291" s="186">
        <f t="shared" si="192"/>
        <v>1685.5136454648289</v>
      </c>
      <c r="AR291" s="186">
        <f t="shared" si="193"/>
        <v>1.793369059153928E-3</v>
      </c>
      <c r="AS291" s="187">
        <f>AR291*'DADOS BASE'!W$38</f>
        <v>537965.46691566205</v>
      </c>
      <c r="AU291" s="188">
        <v>22.470885671704998</v>
      </c>
      <c r="AV291" s="188">
        <v>50.25</v>
      </c>
      <c r="AW291" s="186">
        <f t="shared" si="194"/>
        <v>5.6177214179262496</v>
      </c>
      <c r="AX291" s="186">
        <f>IF($AW$11&gt;0,(AW291/$AW$11)*'DADOS BASE'!W$40,0)</f>
        <v>1009.3718160272053</v>
      </c>
      <c r="AY291" s="186">
        <f t="shared" si="195"/>
        <v>9.3171397854429383</v>
      </c>
      <c r="AZ291" s="186">
        <f t="shared" si="196"/>
        <v>4.8728935012934714E-4</v>
      </c>
      <c r="BA291" s="186">
        <f>AZ291*'DADOS BASE'!W$41</f>
        <v>3600.0224624488155</v>
      </c>
      <c r="BC291" s="188">
        <v>0</v>
      </c>
      <c r="BD291" s="186">
        <f>IF($BC$11&gt;0,(BC291/$BC$11)*'DADOS BASE'!W$39,0)</f>
        <v>0</v>
      </c>
      <c r="BE291" s="187"/>
    </row>
    <row r="292" spans="2:57" x14ac:dyDescent="0.3">
      <c r="B292" s="223" t="s">
        <v>382</v>
      </c>
      <c r="C292" s="223" t="s">
        <v>415</v>
      </c>
      <c r="D292" s="223" t="s">
        <v>92</v>
      </c>
      <c r="E292" s="223">
        <v>2010</v>
      </c>
      <c r="F292" s="224"/>
      <c r="G292" s="225"/>
      <c r="H292" s="226">
        <f ca="1">IF(AND(E292&gt;=2018,SUMIF('DADOS BASE'!$C$101:$D$104,D292,'DADOS BASE'!$H$101:$H$104)&gt;J292),
SUMIF('DADOS BASE'!$C$101:$D$104,D292,'DADOS BASE'!$H$101:$H$104),
J292)</f>
        <v>2100093.2731810203</v>
      </c>
      <c r="I292" s="225"/>
      <c r="J292" s="226">
        <f t="shared" si="185"/>
        <v>2100093.2731810203</v>
      </c>
      <c r="K292" s="226"/>
      <c r="L292" s="227">
        <v>2068.6179310436</v>
      </c>
      <c r="M292" s="226">
        <f t="shared" si="186"/>
        <v>1.6138398421950096E-3</v>
      </c>
      <c r="N292" s="226">
        <f>L292*'DADOS BASE'!$I$29</f>
        <v>2037042.8174156491</v>
      </c>
      <c r="O292" s="228"/>
      <c r="P292" s="227">
        <v>0</v>
      </c>
      <c r="Q292" s="226">
        <f>P292*'DADOS BASE'!$I$33</f>
        <v>0</v>
      </c>
      <c r="R292" s="226"/>
      <c r="S292" s="227">
        <v>80.034709040989</v>
      </c>
      <c r="T292" s="226">
        <f>S292*'DADOS BASE'!$I$37</f>
        <v>63050.455765371284</v>
      </c>
      <c r="U292" s="226"/>
      <c r="V292" s="226">
        <f t="shared" si="187"/>
        <v>63050.455765371284</v>
      </c>
      <c r="W292" s="228"/>
      <c r="X292" s="226"/>
      <c r="Y292" s="226"/>
      <c r="Z292" s="224"/>
      <c r="AA292" s="226"/>
      <c r="AB292" s="226"/>
      <c r="AC292" s="226"/>
      <c r="AD292" s="226"/>
      <c r="AE292" s="227">
        <v>1030</v>
      </c>
      <c r="AF292" s="227">
        <v>869.35532095987003</v>
      </c>
      <c r="AG292" s="226" t="s">
        <v>155</v>
      </c>
      <c r="AH292" s="229">
        <v>0.65600000000000003</v>
      </c>
      <c r="AI292" s="225">
        <f t="shared" si="188"/>
        <v>570.29709054967475</v>
      </c>
      <c r="AJ292" s="226">
        <f t="shared" si="189"/>
        <v>-8.9461055602840983E-2</v>
      </c>
      <c r="AK292" s="226"/>
      <c r="AL292" s="226">
        <f t="shared" si="190"/>
        <v>195.7504123781726</v>
      </c>
      <c r="AM292" s="228">
        <f t="shared" si="191"/>
        <v>170176.66258105316</v>
      </c>
      <c r="AN292" s="226"/>
      <c r="AO292" s="227">
        <v>2.0820105820106001</v>
      </c>
      <c r="AP292" s="225"/>
      <c r="AQ292" s="226">
        <f t="shared" si="192"/>
        <v>1810.0069777656711</v>
      </c>
      <c r="AR292" s="226">
        <f t="shared" si="193"/>
        <v>1.9258286751410341E-3</v>
      </c>
      <c r="AS292" s="228">
        <f>AR292*'DADOS BASE'!W$38</f>
        <v>577700.00945070002</v>
      </c>
      <c r="AT292" s="225"/>
      <c r="AU292" s="227">
        <v>54.823329567157998</v>
      </c>
      <c r="AV292" s="227">
        <v>175</v>
      </c>
      <c r="AW292" s="226">
        <f t="shared" si="194"/>
        <v>13.7058323917895</v>
      </c>
      <c r="AX292" s="226">
        <f>IF($AW$11&gt;0,(AW292/$AW$11)*'DADOS BASE'!W$40,0)</f>
        <v>2462.6142704975769</v>
      </c>
      <c r="AY292" s="226">
        <f t="shared" si="195"/>
        <v>28.535688074969389</v>
      </c>
      <c r="AZ292" s="226">
        <f t="shared" si="196"/>
        <v>1.4924254886967483E-3</v>
      </c>
      <c r="BA292" s="226">
        <f>AZ292*'DADOS BASE'!W$41</f>
        <v>11025.821273157902</v>
      </c>
      <c r="BB292" s="225"/>
      <c r="BC292" s="227">
        <v>31</v>
      </c>
      <c r="BD292" s="226">
        <f>IF($BC$11&gt;0,(BC292/$BC$11)*'DADOS BASE'!W$39,0)</f>
        <v>167499.32438793365</v>
      </c>
      <c r="BE292" s="187"/>
    </row>
    <row r="293" spans="2:57" x14ac:dyDescent="0.3">
      <c r="B293" s="184" t="s">
        <v>382</v>
      </c>
      <c r="C293" s="184" t="s">
        <v>416</v>
      </c>
      <c r="D293" s="184" t="s">
        <v>98</v>
      </c>
      <c r="E293" s="184">
        <v>2015</v>
      </c>
      <c r="F293" s="185"/>
      <c r="H293" s="186">
        <f ca="1">IF(AND(E293&gt;=2018,SUMIF('DADOS BASE'!$C$101:$D$104,D293,'DADOS BASE'!$H$101:$H$104)&gt;J293),
SUMIF('DADOS BASE'!$C$101:$D$104,D293,'DADOS BASE'!$H$101:$H$104),
J293)</f>
        <v>447454.2752375112</v>
      </c>
      <c r="J293" s="186">
        <f t="shared" si="185"/>
        <v>447454.2752375112</v>
      </c>
      <c r="K293" s="186"/>
      <c r="L293" s="188">
        <v>438.01292282203002</v>
      </c>
      <c r="M293" s="186">
        <f t="shared" si="186"/>
        <v>3.4171738320467113E-4</v>
      </c>
      <c r="N293" s="186">
        <f>L293*'DADOS BASE'!$I$29</f>
        <v>431327.15083820152</v>
      </c>
      <c r="O293" s="187"/>
      <c r="P293" s="188">
        <v>0</v>
      </c>
      <c r="Q293" s="186">
        <f>P293*'DADOS BASE'!$I$33</f>
        <v>0</v>
      </c>
      <c r="R293" s="186"/>
      <c r="S293" s="188">
        <v>20.471377935311999</v>
      </c>
      <c r="T293" s="186">
        <f>S293*'DADOS BASE'!$I$37</f>
        <v>16127.124399309707</v>
      </c>
      <c r="U293" s="186"/>
      <c r="V293" s="186">
        <f t="shared" si="187"/>
        <v>16127.124399309707</v>
      </c>
      <c r="W293" s="187"/>
      <c r="X293" s="186"/>
      <c r="Y293" s="186"/>
      <c r="Z293" s="185"/>
      <c r="AA293" s="186"/>
      <c r="AB293" s="186"/>
      <c r="AC293" s="186"/>
      <c r="AD293" s="186"/>
      <c r="AE293" s="188">
        <v>350</v>
      </c>
      <c r="AF293" s="188">
        <v>297.95658434156002</v>
      </c>
      <c r="AG293" s="186" t="s">
        <v>155</v>
      </c>
      <c r="AH293" s="189">
        <v>0.69599999999999995</v>
      </c>
      <c r="AI293" s="183">
        <f t="shared" si="188"/>
        <v>207.37778270172575</v>
      </c>
      <c r="AJ293" s="186">
        <f t="shared" si="189"/>
        <v>-3.5509293079649076E-2</v>
      </c>
      <c r="AK293" s="186"/>
      <c r="AL293" s="186">
        <f t="shared" si="190"/>
        <v>186.05655530257462</v>
      </c>
      <c r="AM293" s="187">
        <f t="shared" si="191"/>
        <v>55436.775712311704</v>
      </c>
      <c r="AN293" s="186"/>
      <c r="AO293" s="188">
        <v>1.9356287425150001</v>
      </c>
      <c r="AQ293" s="186">
        <f t="shared" si="192"/>
        <v>576.73332867311842</v>
      </c>
      <c r="AR293" s="186">
        <f t="shared" si="193"/>
        <v>6.1363828753815085E-4</v>
      </c>
      <c r="AS293" s="187">
        <f>AR293*'DADOS BASE'!W$38</f>
        <v>184076.00275457531</v>
      </c>
      <c r="AU293" s="188">
        <v>20.471377935311999</v>
      </c>
      <c r="AV293" s="188">
        <v>50</v>
      </c>
      <c r="AW293" s="186">
        <f t="shared" si="194"/>
        <v>5.1178444838279997</v>
      </c>
      <c r="AX293" s="186">
        <f>IF($AW$11&gt;0,(AW293/$AW$11)*'DADOS BASE'!W$40,0)</f>
        <v>919.55574092764687</v>
      </c>
      <c r="AY293" s="186">
        <f t="shared" si="195"/>
        <v>9.9062468826193211</v>
      </c>
      <c r="AZ293" s="186">
        <f t="shared" si="196"/>
        <v>5.1809983716187785E-4</v>
      </c>
      <c r="BA293" s="186">
        <f>AZ293*'DADOS BASE'!W$41</f>
        <v>3827.645835228574</v>
      </c>
      <c r="BC293" s="188">
        <v>0</v>
      </c>
      <c r="BD293" s="186">
        <f>IF($BC$11&gt;0,(BC293/$BC$11)*'DADOS BASE'!W$39,0)</f>
        <v>0</v>
      </c>
      <c r="BE293" s="187"/>
    </row>
    <row r="294" spans="2:57" x14ac:dyDescent="0.3">
      <c r="B294" s="223" t="s">
        <v>382</v>
      </c>
      <c r="C294" s="223" t="s">
        <v>417</v>
      </c>
      <c r="D294" s="223" t="s">
        <v>98</v>
      </c>
      <c r="E294" s="223">
        <v>2016</v>
      </c>
      <c r="F294" s="224"/>
      <c r="G294" s="225"/>
      <c r="H294" s="226">
        <f ca="1">IF(AND(E294&gt;=2018,SUMIF('DADOS BASE'!$C$101:$D$104,D294,'DADOS BASE'!$H$101:$H$104)&gt;J294),
SUMIF('DADOS BASE'!$C$101:$D$104,D294,'DADOS BASE'!$H$101:$H$104),
J294)</f>
        <v>1242092.9493552828</v>
      </c>
      <c r="I294" s="225"/>
      <c r="J294" s="226">
        <f t="shared" si="185"/>
        <v>1242092.9493552828</v>
      </c>
      <c r="K294" s="226"/>
      <c r="L294" s="227">
        <v>637.91505208461001</v>
      </c>
      <c r="M294" s="226">
        <f t="shared" si="186"/>
        <v>4.9767176023204928E-4</v>
      </c>
      <c r="N294" s="226">
        <f>L294*'DADOS BASE'!$I$29</f>
        <v>628178.00013689231</v>
      </c>
      <c r="O294" s="228"/>
      <c r="P294" s="227">
        <v>0</v>
      </c>
      <c r="Q294" s="226">
        <f>P294*'DADOS BASE'!$I$33</f>
        <v>0</v>
      </c>
      <c r="R294" s="226"/>
      <c r="S294" s="227">
        <v>779.28864653177004</v>
      </c>
      <c r="T294" s="226">
        <f>S294*'DADOS BASE'!$I$37</f>
        <v>613914.94921839051</v>
      </c>
      <c r="U294" s="226"/>
      <c r="V294" s="226">
        <f t="shared" si="187"/>
        <v>613914.94921839051</v>
      </c>
      <c r="W294" s="228"/>
      <c r="X294" s="226"/>
      <c r="Y294" s="226"/>
      <c r="Z294" s="224"/>
      <c r="AA294" s="226"/>
      <c r="AB294" s="226"/>
      <c r="AC294" s="226"/>
      <c r="AD294" s="226"/>
      <c r="AE294" s="227">
        <v>405</v>
      </c>
      <c r="AF294" s="227">
        <v>327.06926614557</v>
      </c>
      <c r="AG294" s="226" t="s">
        <v>155</v>
      </c>
      <c r="AH294" s="229">
        <v>0.65100000000000002</v>
      </c>
      <c r="AI294" s="225">
        <f t="shared" si="188"/>
        <v>212.92209226076608</v>
      </c>
      <c r="AJ294" s="226">
        <f t="shared" si="189"/>
        <v>-9.6205025918239984E-2</v>
      </c>
      <c r="AK294" s="226"/>
      <c r="AL294" s="226">
        <f t="shared" si="190"/>
        <v>196.96214451262236</v>
      </c>
      <c r="AM294" s="228">
        <f t="shared" si="191"/>
        <v>64420.264064201103</v>
      </c>
      <c r="AN294" s="226"/>
      <c r="AO294" s="227">
        <v>1.6987179487179001</v>
      </c>
      <c r="AP294" s="225"/>
      <c r="AQ294" s="226">
        <f t="shared" si="192"/>
        <v>555.59843287547153</v>
      </c>
      <c r="AR294" s="226">
        <f t="shared" si="193"/>
        <v>5.9115097733812604E-4</v>
      </c>
      <c r="AS294" s="228">
        <f>AR294*'DADOS BASE'!W$38</f>
        <v>177330.37710118026</v>
      </c>
      <c r="AT294" s="225"/>
      <c r="AU294" s="227">
        <v>419.71292522058002</v>
      </c>
      <c r="AV294" s="227">
        <v>238.75</v>
      </c>
      <c r="AW294" s="226">
        <f t="shared" si="194"/>
        <v>104.928231305145</v>
      </c>
      <c r="AX294" s="226">
        <f>IF($AW$11&gt;0,(AW294/$AW$11)*'DADOS BASE'!W$40,0)</f>
        <v>18853.124159384457</v>
      </c>
      <c r="AY294" s="226">
        <f t="shared" si="195"/>
        <v>178.24346984527327</v>
      </c>
      <c r="AZ294" s="226">
        <f t="shared" si="196"/>
        <v>9.3221897047639866E-3</v>
      </c>
      <c r="BA294" s="226">
        <f>AZ294*'DADOS BASE'!W$41</f>
        <v>68870.974355280254</v>
      </c>
      <c r="BB294" s="225"/>
      <c r="BC294" s="227">
        <v>0</v>
      </c>
      <c r="BD294" s="226">
        <f>IF($BC$11&gt;0,(BC294/$BC$11)*'DADOS BASE'!W$39,0)</f>
        <v>0</v>
      </c>
      <c r="BE294" s="187"/>
    </row>
    <row r="295" spans="2:57" x14ac:dyDescent="0.3">
      <c r="B295" s="184" t="s">
        <v>382</v>
      </c>
      <c r="C295" s="184" t="s">
        <v>418</v>
      </c>
      <c r="D295" s="184" t="s">
        <v>94</v>
      </c>
      <c r="E295" s="184">
        <v>2016</v>
      </c>
      <c r="F295" s="185"/>
      <c r="H295" s="186">
        <f ca="1">IF(AND(E295&gt;=2018,SUMIF('DADOS BASE'!$C$101:$D$104,D295,'DADOS BASE'!$H$101:$H$104)&gt;J295),
SUMIF('DADOS BASE'!$C$101:$D$104,D295,'DADOS BASE'!$H$101:$H$104),
J295)</f>
        <v>2214441.1769006788</v>
      </c>
      <c r="J295" s="186">
        <f t="shared" si="185"/>
        <v>2214441.1769006788</v>
      </c>
      <c r="K295" s="186"/>
      <c r="L295" s="188">
        <v>830.24769538938006</v>
      </c>
      <c r="M295" s="186">
        <f t="shared" si="186"/>
        <v>6.4772077511384915E-4</v>
      </c>
      <c r="N295" s="186">
        <f>L295*'DADOS BASE'!$I$29</f>
        <v>817574.90312172391</v>
      </c>
      <c r="O295" s="187"/>
      <c r="P295" s="188">
        <v>0</v>
      </c>
      <c r="Q295" s="186">
        <f>P295*'DADOS BASE'!$I$33</f>
        <v>0</v>
      </c>
      <c r="R295" s="186"/>
      <c r="S295" s="188">
        <v>1773.1479405493999</v>
      </c>
      <c r="T295" s="186">
        <f>S295*'DADOS BASE'!$I$37</f>
        <v>1396866.2737789548</v>
      </c>
      <c r="U295" s="186"/>
      <c r="V295" s="186">
        <f t="shared" si="187"/>
        <v>1396866.2737789548</v>
      </c>
      <c r="W295" s="187"/>
      <c r="X295" s="186"/>
      <c r="Y295" s="186"/>
      <c r="Z295" s="185"/>
      <c r="AA295" s="186"/>
      <c r="AB295" s="186"/>
      <c r="AC295" s="186"/>
      <c r="AD295" s="186"/>
      <c r="AE295" s="188">
        <v>452</v>
      </c>
      <c r="AF295" s="188">
        <v>453.35156475855001</v>
      </c>
      <c r="AG295" s="186" t="s">
        <v>155</v>
      </c>
      <c r="AH295" s="189">
        <v>0.71599999999999997</v>
      </c>
      <c r="AI295" s="183">
        <f t="shared" si="188"/>
        <v>324.59972036712179</v>
      </c>
      <c r="AJ295" s="186">
        <f t="shared" si="189"/>
        <v>-8.5334118180530483E-3</v>
      </c>
      <c r="AK295" s="186"/>
      <c r="AL295" s="186">
        <f t="shared" si="190"/>
        <v>181.20962676477561</v>
      </c>
      <c r="AM295" s="187">
        <f t="shared" si="191"/>
        <v>82151.66784312384</v>
      </c>
      <c r="AN295" s="186"/>
      <c r="AO295" s="188">
        <v>1.3357023411371001</v>
      </c>
      <c r="AQ295" s="186">
        <f t="shared" si="192"/>
        <v>605.54274640616291</v>
      </c>
      <c r="AR295" s="186">
        <f t="shared" si="193"/>
        <v>6.442912095798672E-4</v>
      </c>
      <c r="AS295" s="187">
        <f>AR295*'DADOS BASE'!W$38</f>
        <v>193271.1059232901</v>
      </c>
      <c r="AU295" s="188">
        <v>934.08667557952003</v>
      </c>
      <c r="AV295" s="188">
        <v>580.5</v>
      </c>
      <c r="AW295" s="186">
        <f t="shared" si="194"/>
        <v>233.52166889488001</v>
      </c>
      <c r="AX295" s="186">
        <f>IF($AW$11&gt;0,(AW295/$AW$11)*'DADOS BASE'!W$40,0)</f>
        <v>41958.326780315831</v>
      </c>
      <c r="AY295" s="186">
        <f t="shared" si="195"/>
        <v>311.91543984913397</v>
      </c>
      <c r="AZ295" s="186">
        <f t="shared" si="196"/>
        <v>1.6313275906503766E-2</v>
      </c>
      <c r="BA295" s="186">
        <f>AZ295*'DADOS BASE'!W$41</f>
        <v>120520.09690741177</v>
      </c>
      <c r="BC295" s="188">
        <v>0</v>
      </c>
      <c r="BD295" s="186">
        <f>IF($BC$11&gt;0,(BC295/$BC$11)*'DADOS BASE'!W$39,0)</f>
        <v>0</v>
      </c>
      <c r="BE295" s="187"/>
    </row>
    <row r="296" spans="2:57" x14ac:dyDescent="0.3">
      <c r="B296" s="223" t="s">
        <v>382</v>
      </c>
      <c r="C296" s="223" t="s">
        <v>419</v>
      </c>
      <c r="D296" s="223" t="s">
        <v>92</v>
      </c>
      <c r="E296" s="223">
        <v>2009</v>
      </c>
      <c r="F296" s="224"/>
      <c r="G296" s="225"/>
      <c r="H296" s="226">
        <f ca="1">IF(AND(E296&gt;=2018,SUMIF('DADOS BASE'!$C$101:$D$104,D296,'DADOS BASE'!$H$101:$H$104)&gt;J296),
SUMIF('DADOS BASE'!$C$101:$D$104,D296,'DADOS BASE'!$H$101:$H$104),
J296)</f>
        <v>5293198.5666028978</v>
      </c>
      <c r="I296" s="225"/>
      <c r="J296" s="226">
        <f t="shared" si="185"/>
        <v>5293198.5666028978</v>
      </c>
      <c r="K296" s="226"/>
      <c r="L296" s="227">
        <v>5266.7925937206001</v>
      </c>
      <c r="M296" s="226">
        <f t="shared" si="186"/>
        <v>4.1089074984648529E-3</v>
      </c>
      <c r="N296" s="226">
        <f>L296*'DADOS BASE'!$I$29</f>
        <v>5186400.9602024266</v>
      </c>
      <c r="O296" s="228"/>
      <c r="P296" s="227">
        <v>0</v>
      </c>
      <c r="Q296" s="226">
        <f>P296*'DADOS BASE'!$I$33</f>
        <v>0</v>
      </c>
      <c r="R296" s="226"/>
      <c r="S296" s="227">
        <v>135.56627387981999</v>
      </c>
      <c r="T296" s="226">
        <f>S296*'DADOS BASE'!$I$37</f>
        <v>106797.60640047146</v>
      </c>
      <c r="U296" s="226"/>
      <c r="V296" s="226">
        <f t="shared" si="187"/>
        <v>106797.60640047146</v>
      </c>
      <c r="W296" s="228"/>
      <c r="X296" s="226"/>
      <c r="Y296" s="226"/>
      <c r="Z296" s="224"/>
      <c r="AA296" s="226"/>
      <c r="AB296" s="226"/>
      <c r="AC296" s="226"/>
      <c r="AD296" s="226"/>
      <c r="AE296" s="227">
        <v>2786</v>
      </c>
      <c r="AF296" s="227">
        <v>2071.4025052473999</v>
      </c>
      <c r="AG296" s="226" t="s">
        <v>155</v>
      </c>
      <c r="AH296" s="229">
        <v>0.65800000000000003</v>
      </c>
      <c r="AI296" s="225">
        <f t="shared" si="188"/>
        <v>1362.9828484527891</v>
      </c>
      <c r="AJ296" s="226">
        <f t="shared" si="189"/>
        <v>-8.6763467476681372E-2</v>
      </c>
      <c r="AK296" s="226"/>
      <c r="AL296" s="226">
        <f t="shared" si="190"/>
        <v>195.26571952439269</v>
      </c>
      <c r="AM296" s="228">
        <f t="shared" si="191"/>
        <v>404473.90061176312</v>
      </c>
      <c r="AN296" s="226"/>
      <c r="AO296" s="227">
        <v>2.0517241379310001</v>
      </c>
      <c r="AP296" s="225"/>
      <c r="AQ296" s="226">
        <f t="shared" si="192"/>
        <v>4249.9465193868355</v>
      </c>
      <c r="AR296" s="226">
        <f t="shared" si="193"/>
        <v>4.5218990729828067E-3</v>
      </c>
      <c r="AS296" s="228">
        <f>AR296*'DADOS BASE'!W$38</f>
        <v>1356455.6239697556</v>
      </c>
      <c r="AT296" s="225"/>
      <c r="AU296" s="227">
        <v>95.400619196673006</v>
      </c>
      <c r="AV296" s="227">
        <v>144.75</v>
      </c>
      <c r="AW296" s="226">
        <f t="shared" si="194"/>
        <v>23.850154799168251</v>
      </c>
      <c r="AX296" s="226">
        <f>IF($AW$11&gt;0,(AW296/$AW$11)*'DADOS BASE'!W$40,0)</f>
        <v>4285.3093400728094</v>
      </c>
      <c r="AY296" s="226">
        <f t="shared" si="195"/>
        <v>48.933938294844381</v>
      </c>
      <c r="AZ296" s="226">
        <f t="shared" si="196"/>
        <v>2.559260410391138E-3</v>
      </c>
      <c r="BA296" s="226">
        <f>AZ296*'DADOS BASE'!W$41</f>
        <v>18907.441671398006</v>
      </c>
      <c r="BB296" s="225"/>
      <c r="BC296" s="227">
        <v>95</v>
      </c>
      <c r="BD296" s="226">
        <f>IF($BC$11&gt;0,(BC296/$BC$11)*'DADOS BASE'!W$39,0)</f>
        <v>513304.38118882891</v>
      </c>
      <c r="BE296" s="187"/>
    </row>
    <row r="297" spans="2:57" x14ac:dyDescent="0.3">
      <c r="B297" s="184" t="s">
        <v>382</v>
      </c>
      <c r="C297" s="184" t="s">
        <v>420</v>
      </c>
      <c r="D297" s="184" t="s">
        <v>94</v>
      </c>
      <c r="E297" s="184">
        <v>2010</v>
      </c>
      <c r="F297" s="185"/>
      <c r="H297" s="186">
        <f ca="1">IF(AND(E297&gt;=2018,SUMIF('DADOS BASE'!$C$101:$D$104,D297,'DADOS BASE'!$H$101:$H$104)&gt;J297),
SUMIF('DADOS BASE'!$C$101:$D$104,D297,'DADOS BASE'!$H$101:$H$104),
J297)</f>
        <v>2060151.177168359</v>
      </c>
      <c r="J297" s="186">
        <f t="shared" si="185"/>
        <v>2060151.177168359</v>
      </c>
      <c r="K297" s="186"/>
      <c r="L297" s="188">
        <v>2072.4245055175002</v>
      </c>
      <c r="M297" s="186">
        <f t="shared" si="186"/>
        <v>1.6168095551884396E-3</v>
      </c>
      <c r="N297" s="186">
        <f>L297*'DADOS BASE'!$I$29</f>
        <v>2040791.2888344885</v>
      </c>
      <c r="O297" s="187"/>
      <c r="P297" s="188">
        <v>0</v>
      </c>
      <c r="Q297" s="186">
        <f>P297*'DADOS BASE'!$I$33</f>
        <v>0</v>
      </c>
      <c r="R297" s="186"/>
      <c r="S297" s="188">
        <v>24.574969539211001</v>
      </c>
      <c r="T297" s="186">
        <f>S297*'DADOS BASE'!$I$37</f>
        <v>19359.888333870589</v>
      </c>
      <c r="U297" s="186"/>
      <c r="V297" s="186">
        <f t="shared" si="187"/>
        <v>19359.888333870589</v>
      </c>
      <c r="W297" s="187"/>
      <c r="X297" s="186"/>
      <c r="Y297" s="186"/>
      <c r="Z297" s="185"/>
      <c r="AA297" s="186"/>
      <c r="AB297" s="186"/>
      <c r="AC297" s="186"/>
      <c r="AD297" s="186"/>
      <c r="AE297" s="188">
        <v>1369</v>
      </c>
      <c r="AF297" s="188">
        <v>936.52128829444996</v>
      </c>
      <c r="AG297" s="186" t="s">
        <v>155</v>
      </c>
      <c r="AH297" s="189">
        <v>0.77</v>
      </c>
      <c r="AI297" s="183">
        <f t="shared" si="188"/>
        <v>721.12139198672651</v>
      </c>
      <c r="AJ297" s="186">
        <f t="shared" si="189"/>
        <v>6.4301467588256223E-2</v>
      </c>
      <c r="AK297" s="186"/>
      <c r="AL297" s="186">
        <f t="shared" si="190"/>
        <v>168.12291971271827</v>
      </c>
      <c r="AM297" s="187">
        <f t="shared" si="191"/>
        <v>157450.69336117929</v>
      </c>
      <c r="AN297" s="186"/>
      <c r="AO297" s="188">
        <v>1.6732673267327001</v>
      </c>
      <c r="AQ297" s="186">
        <f t="shared" si="192"/>
        <v>1567.0504724927187</v>
      </c>
      <c r="AR297" s="186">
        <f t="shared" si="193"/>
        <v>1.6673254702283731E-3</v>
      </c>
      <c r="AS297" s="187">
        <f>AR297*'DADOS BASE'!W$38</f>
        <v>500155.570607954</v>
      </c>
      <c r="AU297" s="188">
        <v>24.263323364348</v>
      </c>
      <c r="AV297" s="188">
        <v>50.5</v>
      </c>
      <c r="AW297" s="186">
        <f t="shared" si="194"/>
        <v>6.0658308410870001</v>
      </c>
      <c r="AX297" s="186">
        <f>IF($AW$11&gt;0,(AW297/$AW$11)*'DADOS BASE'!W$40,0)</f>
        <v>1089.8864924565748</v>
      </c>
      <c r="AY297" s="186">
        <f t="shared" si="195"/>
        <v>10.14975655587841</v>
      </c>
      <c r="AZ297" s="186">
        <f t="shared" si="196"/>
        <v>5.3083546989522213E-4</v>
      </c>
      <c r="BA297" s="186">
        <f>AZ297*'DADOS BASE'!W$41</f>
        <v>3921.7348275313357</v>
      </c>
      <c r="BC297" s="188">
        <v>0</v>
      </c>
      <c r="BD297" s="186">
        <f>IF($BC$11&gt;0,(BC297/$BC$11)*'DADOS BASE'!W$39,0)</f>
        <v>0</v>
      </c>
      <c r="BE297" s="187"/>
    </row>
    <row r="298" spans="2:57" x14ac:dyDescent="0.3">
      <c r="B298" s="223" t="s">
        <v>382</v>
      </c>
      <c r="C298" s="223" t="s">
        <v>421</v>
      </c>
      <c r="D298" s="223" t="s">
        <v>94</v>
      </c>
      <c r="E298" s="223">
        <v>2010</v>
      </c>
      <c r="F298" s="224"/>
      <c r="G298" s="225"/>
      <c r="H298" s="226">
        <f ca="1">IF(AND(E298&gt;=2018,SUMIF('DADOS BASE'!$C$101:$D$104,D298,'DADOS BASE'!$H$101:$H$104)&gt;J298),
SUMIF('DADOS BASE'!$C$101:$D$104,D298,'DADOS BASE'!$H$101:$H$104),
J298)</f>
        <v>2500444.7490553139</v>
      </c>
      <c r="I298" s="225"/>
      <c r="J298" s="226">
        <f t="shared" si="185"/>
        <v>2500444.7490553139</v>
      </c>
      <c r="K298" s="226"/>
      <c r="L298" s="227">
        <v>2092.6194335436999</v>
      </c>
      <c r="M298" s="226">
        <f t="shared" si="186"/>
        <v>1.6325647021248773E-3</v>
      </c>
      <c r="N298" s="226">
        <f>L298*'DADOS BASE'!$I$29</f>
        <v>2060677.9641197803</v>
      </c>
      <c r="O298" s="228"/>
      <c r="P298" s="227">
        <v>0</v>
      </c>
      <c r="Q298" s="226">
        <f>P298*'DADOS BASE'!$I$33</f>
        <v>0</v>
      </c>
      <c r="R298" s="226"/>
      <c r="S298" s="227">
        <v>558.22921897952995</v>
      </c>
      <c r="T298" s="226">
        <f>S298*'DADOS BASE'!$I$37</f>
        <v>439766.78493553353</v>
      </c>
      <c r="U298" s="226"/>
      <c r="V298" s="226">
        <f t="shared" si="187"/>
        <v>439766.78493553353</v>
      </c>
      <c r="W298" s="228"/>
      <c r="X298" s="226"/>
      <c r="Y298" s="226"/>
      <c r="Z298" s="224"/>
      <c r="AA298" s="226"/>
      <c r="AB298" s="226"/>
      <c r="AC298" s="226"/>
      <c r="AD298" s="226"/>
      <c r="AE298" s="227">
        <v>1586</v>
      </c>
      <c r="AF298" s="227">
        <v>1154.5237412905999</v>
      </c>
      <c r="AG298" s="226" t="s">
        <v>155</v>
      </c>
      <c r="AH298" s="229">
        <v>0.73099999999999998</v>
      </c>
      <c r="AI298" s="225">
        <f t="shared" si="188"/>
        <v>843.95685488342849</v>
      </c>
      <c r="AJ298" s="226">
        <f t="shared" si="189"/>
        <v>1.169849912814397E-2</v>
      </c>
      <c r="AK298" s="226"/>
      <c r="AL298" s="226">
        <f t="shared" si="190"/>
        <v>177.57443036142635</v>
      </c>
      <c r="AM298" s="228">
        <f t="shared" si="191"/>
        <v>205013.89569842105</v>
      </c>
      <c r="AN298" s="226"/>
      <c r="AO298" s="227">
        <v>1.5289769367238</v>
      </c>
      <c r="AP298" s="225"/>
      <c r="AQ298" s="226">
        <f t="shared" si="192"/>
        <v>1765.2401733334025</v>
      </c>
      <c r="AR298" s="226">
        <f t="shared" si="193"/>
        <v>1.8781972589480879E-3</v>
      </c>
      <c r="AS298" s="228">
        <f>AR298*'DADOS BASE'!W$38</f>
        <v>563411.78644311591</v>
      </c>
      <c r="AT298" s="225"/>
      <c r="AU298" s="227">
        <v>229.51947162396999</v>
      </c>
      <c r="AV298" s="227">
        <v>137</v>
      </c>
      <c r="AW298" s="226">
        <f t="shared" si="194"/>
        <v>57.379867905992498</v>
      </c>
      <c r="AX298" s="226">
        <f>IF($AW$11&gt;0,(AW298/$AW$11)*'DADOS BASE'!W$40,0)</f>
        <v>10309.806621392197</v>
      </c>
      <c r="AY298" s="226">
        <f t="shared" si="195"/>
        <v>87.732494660520686</v>
      </c>
      <c r="AZ298" s="226">
        <f t="shared" si="196"/>
        <v>4.5884371483988799E-3</v>
      </c>
      <c r="BA298" s="226">
        <f>AZ298*'DADOS BASE'!W$41</f>
        <v>33898.702685346718</v>
      </c>
      <c r="BB298" s="225"/>
      <c r="BC298" s="227">
        <v>0</v>
      </c>
      <c r="BD298" s="226">
        <f>IF($BC$11&gt;0,(BC298/$BC$11)*'DADOS BASE'!W$39,0)</f>
        <v>0</v>
      </c>
      <c r="BE298" s="187"/>
    </row>
    <row r="299" spans="2:57" x14ac:dyDescent="0.3">
      <c r="B299" s="184" t="s">
        <v>382</v>
      </c>
      <c r="C299" s="184" t="s">
        <v>422</v>
      </c>
      <c r="D299" s="184" t="s">
        <v>92</v>
      </c>
      <c r="E299" s="184">
        <v>2009</v>
      </c>
      <c r="F299" s="185"/>
      <c r="H299" s="186">
        <f ca="1">IF(AND(E299&gt;=2018,SUMIF('DADOS BASE'!$C$101:$D$104,D299,'DADOS BASE'!$H$101:$H$104)&gt;J299),
SUMIF('DADOS BASE'!$C$101:$D$104,D299,'DADOS BASE'!$H$101:$H$104),
J299)</f>
        <v>4628476.7946134694</v>
      </c>
      <c r="J299" s="186">
        <f t="shared" si="185"/>
        <v>4628476.7946134694</v>
      </c>
      <c r="K299" s="186"/>
      <c r="L299" s="188">
        <v>4681.3206003599998</v>
      </c>
      <c r="M299" s="186">
        <f t="shared" si="186"/>
        <v>3.6521493822389167E-3</v>
      </c>
      <c r="N299" s="186">
        <f>L299*'DADOS BASE'!$I$29</f>
        <v>4609865.5347981034</v>
      </c>
      <c r="O299" s="187"/>
      <c r="P299" s="188">
        <v>0</v>
      </c>
      <c r="Q299" s="186">
        <f>P299*'DADOS BASE'!$I$33</f>
        <v>0</v>
      </c>
      <c r="R299" s="186"/>
      <c r="S299" s="188">
        <v>23.624678777138001</v>
      </c>
      <c r="T299" s="186">
        <f>S299*'DADOS BASE'!$I$37</f>
        <v>18611.259815365709</v>
      </c>
      <c r="U299" s="186"/>
      <c r="V299" s="186">
        <f t="shared" si="187"/>
        <v>18611.259815365709</v>
      </c>
      <c r="W299" s="187"/>
      <c r="X299" s="186"/>
      <c r="Y299" s="186"/>
      <c r="Z299" s="185"/>
      <c r="AA299" s="186"/>
      <c r="AB299" s="186"/>
      <c r="AC299" s="186"/>
      <c r="AD299" s="186"/>
      <c r="AE299" s="188">
        <v>2159</v>
      </c>
      <c r="AF299" s="188">
        <v>1622.8945506549001</v>
      </c>
      <c r="AG299" s="186" t="s">
        <v>155</v>
      </c>
      <c r="AH299" s="189">
        <v>0.67900000000000005</v>
      </c>
      <c r="AI299" s="183">
        <f t="shared" si="188"/>
        <v>1101.9453998946772</v>
      </c>
      <c r="AJ299" s="186">
        <f t="shared" si="189"/>
        <v>-5.843879215200555E-2</v>
      </c>
      <c r="AK299" s="186"/>
      <c r="AL299" s="186">
        <f t="shared" si="190"/>
        <v>190.17644455970373</v>
      </c>
      <c r="AM299" s="187">
        <f t="shared" si="191"/>
        <v>308636.31553886691</v>
      </c>
      <c r="AN299" s="186"/>
      <c r="AO299" s="188">
        <v>1.6890432098765</v>
      </c>
      <c r="AQ299" s="186">
        <f t="shared" si="192"/>
        <v>2741.1390211292328</v>
      </c>
      <c r="AR299" s="186">
        <f t="shared" si="193"/>
        <v>2.9165435240228847E-3</v>
      </c>
      <c r="AS299" s="187">
        <f>AR299*'DADOS BASE'!W$38</f>
        <v>874889.46609854023</v>
      </c>
      <c r="AU299" s="188">
        <v>23.624678777138001</v>
      </c>
      <c r="AV299" s="188">
        <v>49.75</v>
      </c>
      <c r="AW299" s="186">
        <f t="shared" si="194"/>
        <v>5.9061696942845003</v>
      </c>
      <c r="AX299" s="186">
        <f>IF($AW$11&gt;0,(AW299/$AW$11)*'DADOS BASE'!W$40,0)</f>
        <v>1061.1991564874452</v>
      </c>
      <c r="AY299" s="186">
        <f t="shared" si="195"/>
        <v>9.9757758185096002</v>
      </c>
      <c r="AZ299" s="186">
        <f t="shared" si="196"/>
        <v>5.2173622244377463E-4</v>
      </c>
      <c r="BA299" s="186">
        <f>AZ299*'DADOS BASE'!W$41</f>
        <v>3854.5109179427186</v>
      </c>
      <c r="BC299" s="188">
        <v>110.5</v>
      </c>
      <c r="BD299" s="186">
        <f>IF($BC$11&gt;0,(BC299/$BC$11)*'DADOS BASE'!W$39,0)</f>
        <v>597054.04338279576</v>
      </c>
      <c r="BE299" s="187"/>
    </row>
    <row r="300" spans="2:57" x14ac:dyDescent="0.3">
      <c r="B300" s="223" t="s">
        <v>382</v>
      </c>
      <c r="C300" s="223" t="s">
        <v>423</v>
      </c>
      <c r="D300" s="223" t="s">
        <v>94</v>
      </c>
      <c r="E300" s="223">
        <v>2016</v>
      </c>
      <c r="F300" s="224"/>
      <c r="G300" s="225"/>
      <c r="H300" s="226">
        <f ca="1">IF(AND(E300&gt;=2018,SUMIF('DADOS BASE'!$C$101:$D$104,D300,'DADOS BASE'!$H$101:$H$104)&gt;J300),
SUMIF('DADOS BASE'!$C$101:$D$104,D300,'DADOS BASE'!$H$101:$H$104),
J300)</f>
        <v>1417287.5787420841</v>
      </c>
      <c r="I300" s="225"/>
      <c r="J300" s="226">
        <f t="shared" si="185"/>
        <v>1417287.5787420841</v>
      </c>
      <c r="K300" s="226"/>
      <c r="L300" s="227">
        <v>817.85053683525996</v>
      </c>
      <c r="M300" s="226">
        <f t="shared" si="186"/>
        <v>6.3804908654129856E-4</v>
      </c>
      <c r="N300" s="226">
        <f>L300*'DADOS BASE'!$I$29</f>
        <v>805366.9731748472</v>
      </c>
      <c r="O300" s="228"/>
      <c r="P300" s="227">
        <v>0</v>
      </c>
      <c r="Q300" s="226">
        <f>P300*'DADOS BASE'!$I$33</f>
        <v>0</v>
      </c>
      <c r="R300" s="226"/>
      <c r="S300" s="227">
        <v>776.75707539703001</v>
      </c>
      <c r="T300" s="226">
        <f>S300*'DADOS BASE'!$I$37</f>
        <v>611920.60556723701</v>
      </c>
      <c r="U300" s="226"/>
      <c r="V300" s="226">
        <f t="shared" si="187"/>
        <v>611920.60556723701</v>
      </c>
      <c r="W300" s="228"/>
      <c r="X300" s="226"/>
      <c r="Y300" s="226"/>
      <c r="Z300" s="224"/>
      <c r="AA300" s="226"/>
      <c r="AB300" s="226"/>
      <c r="AC300" s="226"/>
      <c r="AD300" s="226"/>
      <c r="AE300" s="227">
        <v>451</v>
      </c>
      <c r="AF300" s="227">
        <v>376.60578526016002</v>
      </c>
      <c r="AG300" s="226" t="s">
        <v>155</v>
      </c>
      <c r="AH300" s="229">
        <v>0.70099999999999996</v>
      </c>
      <c r="AI300" s="225">
        <f t="shared" si="188"/>
        <v>264.00065546737216</v>
      </c>
      <c r="AJ300" s="226">
        <f t="shared" si="189"/>
        <v>-2.8765322764250069E-2</v>
      </c>
      <c r="AK300" s="226"/>
      <c r="AL300" s="226">
        <f t="shared" si="190"/>
        <v>184.84482316812486</v>
      </c>
      <c r="AM300" s="228">
        <f t="shared" si="191"/>
        <v>69613.629780507079</v>
      </c>
      <c r="AN300" s="226"/>
      <c r="AO300" s="227">
        <v>1.7866396761134</v>
      </c>
      <c r="AP300" s="225"/>
      <c r="AQ300" s="226">
        <f t="shared" si="192"/>
        <v>672.85883819964499</v>
      </c>
      <c r="AR300" s="226">
        <f t="shared" si="193"/>
        <v>7.1591483394530724E-4</v>
      </c>
      <c r="AS300" s="228">
        <f>AR300*'DADOS BASE'!W$38</f>
        <v>214756.38600396909</v>
      </c>
      <c r="AT300" s="225"/>
      <c r="AU300" s="227">
        <v>310.37252774306</v>
      </c>
      <c r="AV300" s="227">
        <v>248.5</v>
      </c>
      <c r="AW300" s="226">
        <f t="shared" si="194"/>
        <v>77.593131935765001</v>
      </c>
      <c r="AX300" s="226">
        <f>IF($AW$11&gt;0,(AW300/$AW$11)*'DADOS BASE'!W$40,0)</f>
        <v>13941.652614406996</v>
      </c>
      <c r="AY300" s="226">
        <f t="shared" si="195"/>
        <v>138.6309681103395</v>
      </c>
      <c r="AZ300" s="226">
        <f t="shared" si="196"/>
        <v>7.2504433671623921E-3</v>
      </c>
      <c r="BA300" s="226">
        <f>AZ300*'DADOS BASE'!W$41</f>
        <v>53565.215364483403</v>
      </c>
      <c r="BB300" s="225"/>
      <c r="BC300" s="227">
        <v>0</v>
      </c>
      <c r="BD300" s="226">
        <f>IF($BC$11&gt;0,(BC300/$BC$11)*'DADOS BASE'!W$39,0)</f>
        <v>0</v>
      </c>
      <c r="BE300" s="187"/>
    </row>
    <row r="301" spans="2:57" x14ac:dyDescent="0.3">
      <c r="B301" s="184" t="s">
        <v>382</v>
      </c>
      <c r="C301" s="184" t="s">
        <v>424</v>
      </c>
      <c r="D301" s="184" t="s">
        <v>209</v>
      </c>
      <c r="E301" s="184">
        <v>2015</v>
      </c>
      <c r="F301" s="185"/>
      <c r="H301" s="186">
        <f ca="1">IF(AND(E301&gt;=2018,SUMIF('DADOS BASE'!$C$101:$D$104,D301,'DADOS BASE'!$H$101:$H$104)&gt;J301),
SUMIF('DADOS BASE'!$C$101:$D$104,D301,'DADOS BASE'!$H$101:$H$104),
J301)</f>
        <v>103795.92963737059</v>
      </c>
      <c r="J301" s="186">
        <f t="shared" si="185"/>
        <v>103795.92963737059</v>
      </c>
      <c r="K301" s="186"/>
      <c r="L301" s="188">
        <v>0</v>
      </c>
      <c r="M301" s="186">
        <f t="shared" si="186"/>
        <v>0</v>
      </c>
      <c r="N301" s="186">
        <f>L301*'DADOS BASE'!$I$29</f>
        <v>0</v>
      </c>
      <c r="O301" s="187"/>
      <c r="P301" s="188">
        <v>0</v>
      </c>
      <c r="Q301" s="186">
        <f>P301*'DADOS BASE'!$I$33</f>
        <v>0</v>
      </c>
      <c r="R301" s="186"/>
      <c r="S301" s="188">
        <v>131.75601868890001</v>
      </c>
      <c r="T301" s="186">
        <f>S301*'DADOS BASE'!$I$37</f>
        <v>103795.92963737059</v>
      </c>
      <c r="U301" s="186"/>
      <c r="V301" s="186">
        <f t="shared" si="187"/>
        <v>103795.92963737059</v>
      </c>
      <c r="W301" s="187"/>
      <c r="X301" s="186"/>
      <c r="Y301" s="186"/>
      <c r="Z301" s="185"/>
      <c r="AA301" s="186"/>
      <c r="AB301" s="186"/>
      <c r="AC301" s="186"/>
      <c r="AD301" s="186"/>
      <c r="AE301" s="188">
        <v>0</v>
      </c>
      <c r="AF301" s="188">
        <v>0</v>
      </c>
      <c r="AG301" s="186" t="s">
        <v>155</v>
      </c>
      <c r="AH301" s="189">
        <v>0.68</v>
      </c>
      <c r="AI301" s="183">
        <f t="shared" si="188"/>
        <v>0</v>
      </c>
      <c r="AJ301" s="186">
        <f t="shared" si="189"/>
        <v>-5.7089998088925745E-2</v>
      </c>
      <c r="AK301" s="186"/>
      <c r="AL301" s="186">
        <f t="shared" si="190"/>
        <v>189.9340981328138</v>
      </c>
      <c r="AM301" s="187">
        <f t="shared" si="191"/>
        <v>0</v>
      </c>
      <c r="AN301" s="186"/>
      <c r="AO301" s="188">
        <v>1.8333333333333</v>
      </c>
      <c r="AQ301" s="186">
        <f t="shared" si="192"/>
        <v>0</v>
      </c>
      <c r="AR301" s="186">
        <f t="shared" si="193"/>
        <v>0</v>
      </c>
      <c r="AS301" s="187">
        <f>AR301*'DADOS BASE'!W$38</f>
        <v>0</v>
      </c>
      <c r="AU301" s="188">
        <v>64.557806325230004</v>
      </c>
      <c r="AV301" s="188">
        <v>58.25</v>
      </c>
      <c r="AW301" s="186">
        <f t="shared" si="194"/>
        <v>16.139451581307501</v>
      </c>
      <c r="AX301" s="186">
        <f>IF($AW$11&gt;0,(AW301/$AW$11)*'DADOS BASE'!W$40,0)</f>
        <v>2899.8781428220286</v>
      </c>
      <c r="AY301" s="186">
        <f t="shared" si="195"/>
        <v>29.58899456572988</v>
      </c>
      <c r="AZ301" s="186">
        <f t="shared" si="196"/>
        <v>1.5475137504583274E-3</v>
      </c>
      <c r="BA301" s="186">
        <f>AZ301*'DADOS BASE'!W$41</f>
        <v>11432.805295497612</v>
      </c>
      <c r="BC301" s="188">
        <v>0</v>
      </c>
      <c r="BD301" s="186">
        <f>IF($BC$11&gt;0,(BC301/$BC$11)*'DADOS BASE'!W$39,0)</f>
        <v>0</v>
      </c>
      <c r="BE301" s="187"/>
    </row>
    <row r="302" spans="2:57" x14ac:dyDescent="0.3">
      <c r="B302" s="223" t="s">
        <v>382</v>
      </c>
      <c r="C302" s="223" t="s">
        <v>425</v>
      </c>
      <c r="D302" s="223" t="s">
        <v>209</v>
      </c>
      <c r="E302" s="223">
        <v>0</v>
      </c>
      <c r="F302" s="224"/>
      <c r="G302" s="225"/>
      <c r="H302" s="226">
        <f ca="1">IF(AND(E302&gt;=2018,SUMIF('DADOS BASE'!$C$101:$D$104,D302,'DADOS BASE'!$H$101:$H$104)&gt;J302),
SUMIF('DADOS BASE'!$C$101:$D$104,D302,'DADOS BASE'!$H$101:$H$104),
J302)</f>
        <v>953370.95396117819</v>
      </c>
      <c r="I302" s="225"/>
      <c r="J302" s="226">
        <f t="shared" si="185"/>
        <v>953370.95396117819</v>
      </c>
      <c r="K302" s="226"/>
      <c r="L302" s="227">
        <v>0</v>
      </c>
      <c r="M302" s="226">
        <f t="shared" si="186"/>
        <v>0</v>
      </c>
      <c r="N302" s="226">
        <f>L302*'DADOS BASE'!$I$29</f>
        <v>0</v>
      </c>
      <c r="O302" s="228"/>
      <c r="P302" s="227">
        <v>3523.4585487806999</v>
      </c>
      <c r="Q302" s="226">
        <f>P302*'DADOS BASE'!$I$33</f>
        <v>867419.23454595311</v>
      </c>
      <c r="R302" s="226"/>
      <c r="S302" s="227">
        <v>109.10501393629001</v>
      </c>
      <c r="T302" s="226">
        <f>S302*'DADOS BASE'!$I$37</f>
        <v>85951.719415225147</v>
      </c>
      <c r="U302" s="226"/>
      <c r="V302" s="226">
        <f t="shared" si="187"/>
        <v>953370.95396117819</v>
      </c>
      <c r="W302" s="228"/>
      <c r="X302" s="226"/>
      <c r="Y302" s="226"/>
      <c r="Z302" s="224"/>
      <c r="AA302" s="226"/>
      <c r="AB302" s="226"/>
      <c r="AC302" s="226"/>
      <c r="AD302" s="226"/>
      <c r="AE302" s="227">
        <v>0</v>
      </c>
      <c r="AF302" s="227">
        <v>0</v>
      </c>
      <c r="AG302" s="226" t="s">
        <v>155</v>
      </c>
      <c r="AH302" s="229">
        <v>0.77</v>
      </c>
      <c r="AI302" s="225">
        <f t="shared" si="188"/>
        <v>0</v>
      </c>
      <c r="AJ302" s="226">
        <f t="shared" si="189"/>
        <v>6.4301467588256223E-2</v>
      </c>
      <c r="AK302" s="226"/>
      <c r="AL302" s="226">
        <f t="shared" si="190"/>
        <v>168.12291971271827</v>
      </c>
      <c r="AM302" s="228">
        <f t="shared" si="191"/>
        <v>0</v>
      </c>
      <c r="AN302" s="226"/>
      <c r="AO302" s="227">
        <v>0</v>
      </c>
      <c r="AP302" s="225"/>
      <c r="AQ302" s="226">
        <f t="shared" si="192"/>
        <v>0</v>
      </c>
      <c r="AR302" s="226">
        <f t="shared" si="193"/>
        <v>0</v>
      </c>
      <c r="AS302" s="228">
        <f>AR302*'DADOS BASE'!W$38</f>
        <v>0</v>
      </c>
      <c r="AT302" s="225"/>
      <c r="AU302" s="227">
        <v>95.550400694472003</v>
      </c>
      <c r="AV302" s="227">
        <v>848.25</v>
      </c>
      <c r="AW302" s="226">
        <f t="shared" si="194"/>
        <v>23.887600173618001</v>
      </c>
      <c r="AX302" s="226">
        <f>IF($AW$11&gt;0,(AW302/$AW$11)*'DADOS BASE'!W$40,0)</f>
        <v>4292.0373891870913</v>
      </c>
      <c r="AY302" s="226">
        <f t="shared" si="195"/>
        <v>0</v>
      </c>
      <c r="AZ302" s="226">
        <f t="shared" si="196"/>
        <v>0</v>
      </c>
      <c r="BA302" s="226">
        <f>AZ302*'DADOS BASE'!W$41</f>
        <v>0</v>
      </c>
      <c r="BB302" s="225"/>
      <c r="BC302" s="227">
        <v>0</v>
      </c>
      <c r="BD302" s="226">
        <f>IF($BC$11&gt;0,(BC302/$BC$11)*'DADOS BASE'!W$39,0)</f>
        <v>0</v>
      </c>
      <c r="BE302" s="187"/>
    </row>
    <row r="303" spans="2:57" x14ac:dyDescent="0.3">
      <c r="F303" s="185"/>
      <c r="H303" s="186"/>
      <c r="J303" s="186"/>
      <c r="K303" s="186"/>
      <c r="L303" s="186"/>
      <c r="M303" s="186"/>
      <c r="N303" s="186"/>
      <c r="O303" s="187"/>
      <c r="P303" s="186"/>
      <c r="Q303" s="186"/>
      <c r="R303" s="186"/>
      <c r="S303" s="186"/>
      <c r="T303" s="186"/>
      <c r="U303" s="186"/>
      <c r="V303" s="186"/>
      <c r="W303" s="187"/>
      <c r="X303" s="186"/>
      <c r="Y303" s="186"/>
      <c r="Z303" s="185"/>
      <c r="AA303" s="186"/>
      <c r="AB303" s="186"/>
      <c r="AC303" s="186"/>
      <c r="AD303" s="186"/>
      <c r="AE303" s="186"/>
      <c r="AF303" s="186"/>
      <c r="AG303" s="186"/>
      <c r="AH303" s="185"/>
      <c r="AJ303" s="186"/>
      <c r="AK303" s="186"/>
      <c r="AL303" s="186"/>
      <c r="AM303" s="187"/>
      <c r="AN303" s="186"/>
      <c r="AO303" s="186"/>
      <c r="AQ303" s="186"/>
      <c r="AR303" s="186"/>
      <c r="AS303" s="187"/>
      <c r="AU303" s="186"/>
      <c r="AV303" s="186"/>
      <c r="AW303" s="186"/>
      <c r="AX303" s="186"/>
      <c r="AY303" s="186"/>
      <c r="AZ303" s="186"/>
      <c r="BA303" s="186"/>
      <c r="BC303" s="186"/>
      <c r="BD303" s="186"/>
      <c r="BE303" s="187"/>
    </row>
    <row r="304" spans="2:57" x14ac:dyDescent="0.3">
      <c r="B304" s="209" t="s">
        <v>382</v>
      </c>
      <c r="C304" s="209" t="s">
        <v>426</v>
      </c>
      <c r="D304" s="211" t="s">
        <v>154</v>
      </c>
      <c r="E304" s="211"/>
      <c r="F304" s="210"/>
      <c r="G304" s="211"/>
      <c r="H304" s="212">
        <f ca="1">SUM(H305:H315)</f>
        <v>18118594.532849934</v>
      </c>
      <c r="I304" s="211"/>
      <c r="J304" s="212">
        <f>SUM(J305:J315)</f>
        <v>18118594.532849934</v>
      </c>
      <c r="K304" s="212"/>
      <c r="L304" s="212">
        <f>SUM(L305:L315)</f>
        <v>18155.507094638579</v>
      </c>
      <c r="M304" s="212">
        <f>SUM(M305:M315)</f>
        <v>1.4164085240139178E-2</v>
      </c>
      <c r="N304" s="212">
        <f>SUM(N305:N315)</f>
        <v>17878383.808175966</v>
      </c>
      <c r="O304" s="214"/>
      <c r="P304" s="212">
        <f>SUM(P305:P315)</f>
        <v>0</v>
      </c>
      <c r="Q304" s="212">
        <f>SUM(Q305:Q315)</f>
        <v>0</v>
      </c>
      <c r="R304" s="212"/>
      <c r="S304" s="212">
        <f>SUM(S305:S315)</f>
        <v>304.91762865836199</v>
      </c>
      <c r="T304" s="212">
        <f>SUM(T305:T315)</f>
        <v>240210.72467396568</v>
      </c>
      <c r="U304" s="212"/>
      <c r="V304" s="212">
        <f>SUM(V305:V315)</f>
        <v>240210.72467396568</v>
      </c>
      <c r="W304" s="214"/>
      <c r="X304" s="212">
        <f>SUMIF(INDICADORES!$D$13:$D$53,C304,INDICADORES!$L$13:$L$53)</f>
        <v>4.0838100844355331E-2</v>
      </c>
      <c r="Y304" s="212">
        <f>X304*'DADOS BASE'!$I$79</f>
        <v>1695729.3041566566</v>
      </c>
      <c r="Z304" s="210">
        <f>SUMIF(INDICADORES!$D$13:$D$53,C304,INDICADORES!$R$13:$R$53)</f>
        <v>3.3812825949911161E-2</v>
      </c>
      <c r="AA304" s="212">
        <f>Z304*'DADOS BASE'!$I$84</f>
        <v>1404017.2935108026</v>
      </c>
      <c r="AB304" s="212">
        <f>SUMIF(INDICADORES!$D$13:$D$53,C304,INDICADORES!$Z$13:$Z$53)</f>
        <v>1.5638572104842249E-2</v>
      </c>
      <c r="AC304" s="212">
        <f>AB304*'DADOS BASE'!$I$89</f>
        <v>1298727.6315525966</v>
      </c>
      <c r="AD304" s="212"/>
      <c r="AE304" s="212">
        <f>SUM(AE305:AE315)</f>
        <v>13871</v>
      </c>
      <c r="AF304" s="212">
        <f>SUM(AF305:AF315)</f>
        <v>8081.0792160892033</v>
      </c>
      <c r="AG304" s="212" t="s">
        <v>155</v>
      </c>
      <c r="AH304" s="210"/>
      <c r="AI304" s="211"/>
      <c r="AJ304" s="212"/>
      <c r="AK304" s="212"/>
      <c r="AL304" s="212"/>
      <c r="AM304" s="214">
        <f>SUM(AM305:AM315)</f>
        <v>1399592.8764436727</v>
      </c>
      <c r="AN304" s="212"/>
      <c r="AO304" s="212"/>
      <c r="AP304" s="211"/>
      <c r="AQ304" s="212">
        <f>SUM(AQ305:AQ315)</f>
        <v>16001.946758354701</v>
      </c>
      <c r="AR304" s="212"/>
      <c r="AS304" s="214">
        <f>SUM(AS305:AS315)</f>
        <v>5107342.0749695636</v>
      </c>
      <c r="AT304" s="211"/>
      <c r="AU304" s="212">
        <f t="shared" ref="AU304:BA304" si="197">SUM(AU305:AU315)</f>
        <v>151.69714631955199</v>
      </c>
      <c r="AV304" s="212">
        <f t="shared" si="197"/>
        <v>130</v>
      </c>
      <c r="AW304" s="212">
        <f t="shared" si="197"/>
        <v>37.924286579887998</v>
      </c>
      <c r="AX304" s="212">
        <f t="shared" si="197"/>
        <v>6814.0983094189214</v>
      </c>
      <c r="AY304" s="212">
        <f t="shared" si="197"/>
        <v>71.835653809546343</v>
      </c>
      <c r="AZ304" s="212">
        <f t="shared" si="197"/>
        <v>3.7570273567926801E-3</v>
      </c>
      <c r="BA304" s="212">
        <f t="shared" si="197"/>
        <v>27756.368721988572</v>
      </c>
      <c r="BB304" s="211"/>
      <c r="BC304" s="212">
        <f>SUM(BC305:BC315)</f>
        <v>168</v>
      </c>
      <c r="BD304" s="212">
        <f>SUM(BD305:BD315)</f>
        <v>907738.27410235011</v>
      </c>
      <c r="BE304" s="187"/>
    </row>
    <row r="305" spans="2:57" x14ac:dyDescent="0.3">
      <c r="B305" s="216" t="s">
        <v>382</v>
      </c>
      <c r="C305" s="218" t="s">
        <v>156</v>
      </c>
      <c r="D305" s="218" t="s">
        <v>157</v>
      </c>
      <c r="E305" s="218"/>
      <c r="F305" s="217"/>
      <c r="G305" s="218"/>
      <c r="H305" s="219"/>
      <c r="I305" s="218"/>
      <c r="J305" s="219"/>
      <c r="K305" s="219"/>
      <c r="L305" s="219">
        <v>0</v>
      </c>
      <c r="M305" s="219">
        <v>0</v>
      </c>
      <c r="N305" s="219">
        <v>0</v>
      </c>
      <c r="O305" s="221"/>
      <c r="P305" s="219"/>
      <c r="Q305" s="219"/>
      <c r="R305" s="219"/>
      <c r="S305" s="219"/>
      <c r="T305" s="219"/>
      <c r="U305" s="219"/>
      <c r="V305" s="219"/>
      <c r="W305" s="221"/>
      <c r="X305" s="219"/>
      <c r="Y305" s="219"/>
      <c r="Z305" s="217"/>
      <c r="AA305" s="219"/>
      <c r="AB305" s="219"/>
      <c r="AC305" s="219"/>
      <c r="AD305" s="219"/>
      <c r="AE305" s="219"/>
      <c r="AF305" s="219"/>
      <c r="AG305" s="219" t="s">
        <v>155</v>
      </c>
      <c r="AH305" s="217"/>
      <c r="AI305" s="218"/>
      <c r="AJ305" s="219"/>
      <c r="AK305" s="219"/>
      <c r="AL305" s="219"/>
      <c r="AM305" s="221"/>
      <c r="AN305" s="219"/>
      <c r="AO305" s="219"/>
      <c r="AP305" s="218"/>
      <c r="AQ305" s="219"/>
      <c r="AR305" s="219"/>
      <c r="AS305" s="221"/>
      <c r="AT305" s="218"/>
      <c r="AU305" s="219"/>
      <c r="AV305" s="219"/>
      <c r="AW305" s="219"/>
      <c r="AX305" s="219"/>
      <c r="AY305" s="219"/>
      <c r="AZ305" s="219"/>
      <c r="BA305" s="219"/>
      <c r="BB305" s="218"/>
      <c r="BC305" s="219"/>
      <c r="BD305" s="219"/>
      <c r="BE305" s="187"/>
    </row>
    <row r="306" spans="2:57" x14ac:dyDescent="0.3">
      <c r="B306" s="223" t="s">
        <v>382</v>
      </c>
      <c r="C306" s="223" t="s">
        <v>427</v>
      </c>
      <c r="D306" s="223" t="s">
        <v>98</v>
      </c>
      <c r="E306" s="223">
        <v>2014</v>
      </c>
      <c r="F306" s="224"/>
      <c r="G306" s="225"/>
      <c r="H306" s="226">
        <f ca="1">IF(AND(E306&gt;=2018,SUMIF('DADOS BASE'!$C$101:$D$104,D306,'DADOS BASE'!$H$101:$H$104)&gt;J306),
SUMIF('DADOS BASE'!$C$101:$D$104,D306,'DADOS BASE'!$H$101:$H$104),
J306)</f>
        <v>192855.02228953346</v>
      </c>
      <c r="I306" s="225"/>
      <c r="J306" s="226">
        <f t="shared" ref="J306:J315" si="198">N306+Q306+T306</f>
        <v>192855.02228953346</v>
      </c>
      <c r="K306" s="226"/>
      <c r="L306" s="227">
        <v>195.84436507135999</v>
      </c>
      <c r="M306" s="226">
        <f t="shared" ref="M306:M315" si="199">L306/$L$11</f>
        <v>1.5278869745757989E-4</v>
      </c>
      <c r="N306" s="226">
        <f>L306*'DADOS BASE'!$I$29</f>
        <v>192855.02228953346</v>
      </c>
      <c r="O306" s="228"/>
      <c r="P306" s="227">
        <v>0</v>
      </c>
      <c r="Q306" s="226">
        <f>P306*'DADOS BASE'!$I$33</f>
        <v>0</v>
      </c>
      <c r="R306" s="226"/>
      <c r="S306" s="227">
        <v>0</v>
      </c>
      <c r="T306" s="226">
        <f>S306*'DADOS BASE'!$I$37</f>
        <v>0</v>
      </c>
      <c r="U306" s="226"/>
      <c r="V306" s="226">
        <f t="shared" ref="V306:V315" si="200">T306+Q306</f>
        <v>0</v>
      </c>
      <c r="W306" s="228"/>
      <c r="X306" s="226"/>
      <c r="Y306" s="226"/>
      <c r="Z306" s="224"/>
      <c r="AA306" s="226"/>
      <c r="AB306" s="226"/>
      <c r="AC306" s="226"/>
      <c r="AD306" s="226"/>
      <c r="AE306" s="227">
        <v>304</v>
      </c>
      <c r="AF306" s="227">
        <v>153.15352058771001</v>
      </c>
      <c r="AG306" s="226" t="s">
        <v>155</v>
      </c>
      <c r="AH306" s="229">
        <v>0.69199999999999995</v>
      </c>
      <c r="AI306" s="225">
        <f t="shared" ref="AI306:AI315" si="201">AF306*AH306</f>
        <v>105.98223624669532</v>
      </c>
      <c r="AJ306" s="226">
        <f t="shared" ref="AJ306:AJ315" si="202">(AH306-$AI$12)*$AJ$12</f>
        <v>-4.0904469331968278E-2</v>
      </c>
      <c r="AK306" s="226"/>
      <c r="AL306" s="226">
        <f t="shared" ref="AL306:AL315" si="203">$AL$11-(AJ306*$AL$11)</f>
        <v>187.0259410101344</v>
      </c>
      <c r="AM306" s="228">
        <f t="shared" ref="AM306:AM315" si="204">AF306*AL306</f>
        <v>28643.681306931456</v>
      </c>
      <c r="AN306" s="226"/>
      <c r="AO306" s="227">
        <v>2.2684426229508001</v>
      </c>
      <c r="AP306" s="225"/>
      <c r="AQ306" s="226">
        <f t="shared" ref="AQ306:AQ315" si="205">AF306*AO306</f>
        <v>347.41997395613424</v>
      </c>
      <c r="AR306" s="226">
        <f t="shared" ref="AR306:AR315" si="206">AQ306/$AQ$11</f>
        <v>3.6965125349262303E-4</v>
      </c>
      <c r="AS306" s="228">
        <f>AR306*'DADOS BASE'!W$38</f>
        <v>110886.04889555542</v>
      </c>
      <c r="AT306" s="225"/>
      <c r="AU306" s="227">
        <v>0</v>
      </c>
      <c r="AV306" s="227">
        <v>0</v>
      </c>
      <c r="AW306" s="226">
        <f t="shared" ref="AW306:AW315" si="207">AU306/4</f>
        <v>0</v>
      </c>
      <c r="AX306" s="226">
        <f>IF($AW$11&gt;0,(AW306/$AW$11)*'DADOS BASE'!W$40,0)</f>
        <v>0</v>
      </c>
      <c r="AY306" s="226">
        <f t="shared" ref="AY306:AY315" si="208">AO306*AW306</f>
        <v>0</v>
      </c>
      <c r="AZ306" s="226">
        <f t="shared" ref="AZ306:AZ315" si="209">IF($AY$11&gt;0,AY306/$AY$11,0)</f>
        <v>0</v>
      </c>
      <c r="BA306" s="226">
        <f>AZ306*'DADOS BASE'!W$41</f>
        <v>0</v>
      </c>
      <c r="BB306" s="225"/>
      <c r="BC306" s="227">
        <v>0</v>
      </c>
      <c r="BD306" s="226">
        <f>IF($BC$11&gt;0,(BC306/$BC$11)*'DADOS BASE'!W$39,0)</f>
        <v>0</v>
      </c>
      <c r="BE306" s="187"/>
    </row>
    <row r="307" spans="2:57" x14ac:dyDescent="0.3">
      <c r="B307" s="184" t="s">
        <v>382</v>
      </c>
      <c r="C307" s="184" t="s">
        <v>428</v>
      </c>
      <c r="D307" s="184" t="s">
        <v>98</v>
      </c>
      <c r="E307" s="184">
        <v>2015</v>
      </c>
      <c r="F307" s="185"/>
      <c r="H307" s="186">
        <f ca="1">IF(AND(E307&gt;=2018,SUMIF('DADOS BASE'!$C$101:$D$104,D307,'DADOS BASE'!$H$101:$H$104)&gt;J307),
SUMIF('DADOS BASE'!$C$101:$D$104,D307,'DADOS BASE'!$H$101:$H$104),
J307)</f>
        <v>159300.848249081</v>
      </c>
      <c r="J307" s="186">
        <f t="shared" si="198"/>
        <v>159300.848249081</v>
      </c>
      <c r="K307" s="186"/>
      <c r="L307" s="188">
        <v>161.77008568557</v>
      </c>
      <c r="M307" s="186">
        <f t="shared" si="199"/>
        <v>1.2620552381220314E-4</v>
      </c>
      <c r="N307" s="186">
        <f>L307*'DADOS BASE'!$I$29</f>
        <v>159300.848249081</v>
      </c>
      <c r="O307" s="187"/>
      <c r="P307" s="188">
        <v>0</v>
      </c>
      <c r="Q307" s="186">
        <f>P307*'DADOS BASE'!$I$33</f>
        <v>0</v>
      </c>
      <c r="R307" s="186"/>
      <c r="S307" s="188">
        <v>0</v>
      </c>
      <c r="T307" s="186">
        <f>S307*'DADOS BASE'!$I$37</f>
        <v>0</v>
      </c>
      <c r="U307" s="186"/>
      <c r="V307" s="186">
        <f t="shared" si="200"/>
        <v>0</v>
      </c>
      <c r="W307" s="187"/>
      <c r="X307" s="186"/>
      <c r="Y307" s="186"/>
      <c r="Z307" s="185"/>
      <c r="AA307" s="186"/>
      <c r="AB307" s="186"/>
      <c r="AC307" s="186"/>
      <c r="AD307" s="186"/>
      <c r="AE307" s="188">
        <v>402</v>
      </c>
      <c r="AF307" s="188">
        <v>128.30026801603</v>
      </c>
      <c r="AG307" s="186" t="s">
        <v>155</v>
      </c>
      <c r="AH307" s="189">
        <v>0.751</v>
      </c>
      <c r="AI307" s="183">
        <f t="shared" si="201"/>
        <v>96.353501280038529</v>
      </c>
      <c r="AJ307" s="186">
        <f t="shared" si="202"/>
        <v>3.8674380389739998E-2</v>
      </c>
      <c r="AK307" s="186"/>
      <c r="AL307" s="186">
        <f t="shared" si="203"/>
        <v>172.72750182362734</v>
      </c>
      <c r="AM307" s="187">
        <f t="shared" si="204"/>
        <v>22160.984777710699</v>
      </c>
      <c r="AN307" s="186"/>
      <c r="AO307" s="188">
        <v>2.0975274725275002</v>
      </c>
      <c r="AQ307" s="186">
        <f t="shared" si="205"/>
        <v>269.11333689626429</v>
      </c>
      <c r="AR307" s="186">
        <f t="shared" si="206"/>
        <v>2.8633380281079321E-4</v>
      </c>
      <c r="AS307" s="187">
        <f>AR307*'DADOS BASE'!W$38</f>
        <v>85892.91598212198</v>
      </c>
      <c r="AU307" s="188">
        <v>0</v>
      </c>
      <c r="AV307" s="188">
        <v>0</v>
      </c>
      <c r="AW307" s="186">
        <f t="shared" si="207"/>
        <v>0</v>
      </c>
      <c r="AX307" s="186">
        <f>IF($AW$11&gt;0,(AW307/$AW$11)*'DADOS BASE'!W$40,0)</f>
        <v>0</v>
      </c>
      <c r="AY307" s="186">
        <f t="shared" si="208"/>
        <v>0</v>
      </c>
      <c r="AZ307" s="186">
        <f t="shared" si="209"/>
        <v>0</v>
      </c>
      <c r="BA307" s="186">
        <f>AZ307*'DADOS BASE'!W$41</f>
        <v>0</v>
      </c>
      <c r="BC307" s="188">
        <v>0</v>
      </c>
      <c r="BD307" s="186">
        <f>IF($BC$11&gt;0,(BC307/$BC$11)*'DADOS BASE'!W$39,0)</f>
        <v>0</v>
      </c>
      <c r="BE307" s="187"/>
    </row>
    <row r="308" spans="2:57" x14ac:dyDescent="0.3">
      <c r="B308" s="223" t="s">
        <v>382</v>
      </c>
      <c r="C308" s="223" t="s">
        <v>429</v>
      </c>
      <c r="D308" s="223" t="s">
        <v>98</v>
      </c>
      <c r="E308" s="223">
        <v>2015</v>
      </c>
      <c r="F308" s="224"/>
      <c r="G308" s="225"/>
      <c r="H308" s="226">
        <f ca="1">IF(AND(E308&gt;=2018,SUMIF('DADOS BASE'!$C$101:$D$104,D308,'DADOS BASE'!$H$101:$H$104)&gt;J308),
SUMIF('DADOS BASE'!$C$101:$D$104,D308,'DADOS BASE'!$H$101:$H$104),
J308)</f>
        <v>72801.497157038029</v>
      </c>
      <c r="I308" s="225"/>
      <c r="J308" s="226">
        <f t="shared" si="198"/>
        <v>72801.497157038029</v>
      </c>
      <c r="K308" s="226"/>
      <c r="L308" s="227">
        <v>73.929954313346002</v>
      </c>
      <c r="M308" s="226">
        <f t="shared" si="199"/>
        <v>5.7676724160629873E-5</v>
      </c>
      <c r="N308" s="226">
        <f>L308*'DADOS BASE'!$I$29</f>
        <v>72801.497157038029</v>
      </c>
      <c r="O308" s="228"/>
      <c r="P308" s="227">
        <v>0</v>
      </c>
      <c r="Q308" s="226">
        <f>P308*'DADOS BASE'!$I$33</f>
        <v>0</v>
      </c>
      <c r="R308" s="226"/>
      <c r="S308" s="227">
        <v>0</v>
      </c>
      <c r="T308" s="226">
        <f>S308*'DADOS BASE'!$I$37</f>
        <v>0</v>
      </c>
      <c r="U308" s="226"/>
      <c r="V308" s="226">
        <f t="shared" si="200"/>
        <v>0</v>
      </c>
      <c r="W308" s="228"/>
      <c r="X308" s="226"/>
      <c r="Y308" s="226"/>
      <c r="Z308" s="224"/>
      <c r="AA308" s="226"/>
      <c r="AB308" s="226"/>
      <c r="AC308" s="226"/>
      <c r="AD308" s="226"/>
      <c r="AE308" s="227">
        <v>365</v>
      </c>
      <c r="AF308" s="227">
        <v>73.929954313346002</v>
      </c>
      <c r="AG308" s="226" t="s">
        <v>155</v>
      </c>
      <c r="AH308" s="229">
        <v>0.72399999999999998</v>
      </c>
      <c r="AI308" s="225">
        <f t="shared" si="201"/>
        <v>53.525286922862506</v>
      </c>
      <c r="AJ308" s="226">
        <f t="shared" si="202"/>
        <v>2.2569406865853617E-3</v>
      </c>
      <c r="AK308" s="226"/>
      <c r="AL308" s="226">
        <f t="shared" si="203"/>
        <v>179.27085534965599</v>
      </c>
      <c r="AM308" s="228">
        <f t="shared" si="204"/>
        <v>13253.486145714527</v>
      </c>
      <c r="AN308" s="226"/>
      <c r="AO308" s="227">
        <v>1.9278523489932999</v>
      </c>
      <c r="AP308" s="225"/>
      <c r="AQ308" s="226">
        <f t="shared" si="205"/>
        <v>142.52603608395142</v>
      </c>
      <c r="AR308" s="226">
        <f t="shared" si="206"/>
        <v>1.5164622601813776E-4</v>
      </c>
      <c r="AS308" s="228">
        <f>AR308*'DADOS BASE'!W$38</f>
        <v>45490.041422000082</v>
      </c>
      <c r="AT308" s="225"/>
      <c r="AU308" s="227">
        <v>0</v>
      </c>
      <c r="AV308" s="227">
        <v>0</v>
      </c>
      <c r="AW308" s="226">
        <f t="shared" si="207"/>
        <v>0</v>
      </c>
      <c r="AX308" s="226">
        <f>IF($AW$11&gt;0,(AW308/$AW$11)*'DADOS BASE'!W$40,0)</f>
        <v>0</v>
      </c>
      <c r="AY308" s="226">
        <f t="shared" si="208"/>
        <v>0</v>
      </c>
      <c r="AZ308" s="226">
        <f t="shared" si="209"/>
        <v>0</v>
      </c>
      <c r="BA308" s="226">
        <f>AZ308*'DADOS BASE'!W$41</f>
        <v>0</v>
      </c>
      <c r="BB308" s="225"/>
      <c r="BC308" s="227">
        <v>0</v>
      </c>
      <c r="BD308" s="226">
        <f>IF($BC$11&gt;0,(BC308/$BC$11)*'DADOS BASE'!W$39,0)</f>
        <v>0</v>
      </c>
      <c r="BE308" s="187"/>
    </row>
    <row r="309" spans="2:57" x14ac:dyDescent="0.3">
      <c r="B309" s="184" t="s">
        <v>382</v>
      </c>
      <c r="C309" s="184" t="s">
        <v>430</v>
      </c>
      <c r="D309" s="184" t="s">
        <v>92</v>
      </c>
      <c r="E309" s="184">
        <v>2009</v>
      </c>
      <c r="F309" s="185"/>
      <c r="H309" s="186">
        <f ca="1">IF(AND(E309&gt;=2018,SUMIF('DADOS BASE'!$C$101:$D$104,D309,'DADOS BASE'!$H$101:$H$104)&gt;J309),
SUMIF('DADOS BASE'!$C$101:$D$104,D309,'DADOS BASE'!$H$101:$H$104),
J309)</f>
        <v>4913189.160838916</v>
      </c>
      <c r="J309" s="186">
        <f t="shared" si="198"/>
        <v>4913189.160838916</v>
      </c>
      <c r="K309" s="186"/>
      <c r="L309" s="188">
        <v>4989.3458840569001</v>
      </c>
      <c r="M309" s="186">
        <f t="shared" si="199"/>
        <v>3.892456433518654E-3</v>
      </c>
      <c r="N309" s="186">
        <f>L309*'DADOS BASE'!$I$29</f>
        <v>4913189.160838916</v>
      </c>
      <c r="O309" s="187"/>
      <c r="P309" s="188">
        <v>0</v>
      </c>
      <c r="Q309" s="186">
        <f>P309*'DADOS BASE'!$I$33</f>
        <v>0</v>
      </c>
      <c r="R309" s="186"/>
      <c r="S309" s="188">
        <v>0</v>
      </c>
      <c r="T309" s="186">
        <f>S309*'DADOS BASE'!$I$37</f>
        <v>0</v>
      </c>
      <c r="U309" s="186"/>
      <c r="V309" s="186">
        <f t="shared" si="200"/>
        <v>0</v>
      </c>
      <c r="W309" s="187"/>
      <c r="X309" s="186"/>
      <c r="Y309" s="186"/>
      <c r="Z309" s="185"/>
      <c r="AA309" s="186"/>
      <c r="AB309" s="186"/>
      <c r="AC309" s="186"/>
      <c r="AD309" s="186"/>
      <c r="AE309" s="188">
        <v>3041</v>
      </c>
      <c r="AF309" s="188">
        <v>1997.9752499619001</v>
      </c>
      <c r="AG309" s="186" t="s">
        <v>155</v>
      </c>
      <c r="AH309" s="189">
        <v>0.76900000000000002</v>
      </c>
      <c r="AI309" s="183">
        <f t="shared" si="201"/>
        <v>1536.4429672207011</v>
      </c>
      <c r="AJ309" s="186">
        <f t="shared" si="202"/>
        <v>6.2952673525176417E-2</v>
      </c>
      <c r="AK309" s="186"/>
      <c r="AL309" s="186">
        <f t="shared" si="203"/>
        <v>168.36526613960822</v>
      </c>
      <c r="AM309" s="187">
        <f t="shared" si="204"/>
        <v>336389.63470018556</v>
      </c>
      <c r="AN309" s="186"/>
      <c r="AO309" s="188">
        <v>2.0912334352700999</v>
      </c>
      <c r="AQ309" s="186">
        <f t="shared" si="205"/>
        <v>4178.2326455624607</v>
      </c>
      <c r="AR309" s="186">
        <f t="shared" si="206"/>
        <v>4.4455962540915156E-3</v>
      </c>
      <c r="AS309" s="187">
        <f>AR309*'DADOS BASE'!W$38</f>
        <v>1333566.7035981729</v>
      </c>
      <c r="AU309" s="188">
        <v>0</v>
      </c>
      <c r="AV309" s="188">
        <v>0</v>
      </c>
      <c r="AW309" s="186">
        <f t="shared" si="207"/>
        <v>0</v>
      </c>
      <c r="AX309" s="186">
        <f>IF($AW$11&gt;0,(AW309/$AW$11)*'DADOS BASE'!W$40,0)</f>
        <v>0</v>
      </c>
      <c r="AY309" s="186">
        <f t="shared" si="208"/>
        <v>0</v>
      </c>
      <c r="AZ309" s="186">
        <f t="shared" si="209"/>
        <v>0</v>
      </c>
      <c r="BA309" s="186">
        <f>AZ309*'DADOS BASE'!W$41</f>
        <v>0</v>
      </c>
      <c r="BC309" s="188">
        <v>0</v>
      </c>
      <c r="BD309" s="186">
        <f>IF($BC$11&gt;0,(BC309/$BC$11)*'DADOS BASE'!W$39,0)</f>
        <v>0</v>
      </c>
      <c r="BE309" s="187"/>
    </row>
    <row r="310" spans="2:57" x14ac:dyDescent="0.3">
      <c r="B310" s="223" t="s">
        <v>382</v>
      </c>
      <c r="C310" s="223" t="s">
        <v>431</v>
      </c>
      <c r="D310" s="223" t="s">
        <v>94</v>
      </c>
      <c r="E310" s="223">
        <v>2009</v>
      </c>
      <c r="F310" s="224"/>
      <c r="G310" s="225"/>
      <c r="H310" s="226">
        <f ca="1">IF(AND(E310&gt;=2018,SUMIF('DADOS BASE'!$C$101:$D$104,D310,'DADOS BASE'!$H$101:$H$104)&gt;J310),
SUMIF('DADOS BASE'!$C$101:$D$104,D310,'DADOS BASE'!$H$101:$H$104),
J310)</f>
        <v>3655692.1359173986</v>
      </c>
      <c r="I310" s="225"/>
      <c r="J310" s="226">
        <f t="shared" si="198"/>
        <v>3655692.1359173986</v>
      </c>
      <c r="K310" s="226"/>
      <c r="L310" s="227">
        <v>3712.3570688258001</v>
      </c>
      <c r="M310" s="226">
        <f t="shared" si="199"/>
        <v>2.8962089403831446E-3</v>
      </c>
      <c r="N310" s="226">
        <f>L310*'DADOS BASE'!$I$29</f>
        <v>3655692.1359173986</v>
      </c>
      <c r="O310" s="228"/>
      <c r="P310" s="227">
        <v>0</v>
      </c>
      <c r="Q310" s="226">
        <f>P310*'DADOS BASE'!$I$33</f>
        <v>0</v>
      </c>
      <c r="R310" s="226"/>
      <c r="S310" s="227">
        <v>0</v>
      </c>
      <c r="T310" s="226">
        <f>S310*'DADOS BASE'!$I$37</f>
        <v>0</v>
      </c>
      <c r="U310" s="226"/>
      <c r="V310" s="226">
        <f t="shared" si="200"/>
        <v>0</v>
      </c>
      <c r="W310" s="228"/>
      <c r="X310" s="226"/>
      <c r="Y310" s="226"/>
      <c r="Z310" s="224"/>
      <c r="AA310" s="226"/>
      <c r="AB310" s="226"/>
      <c r="AC310" s="226"/>
      <c r="AD310" s="226"/>
      <c r="AE310" s="227">
        <v>3169</v>
      </c>
      <c r="AF310" s="227">
        <v>1649.0083260325</v>
      </c>
      <c r="AG310" s="226" t="s">
        <v>155</v>
      </c>
      <c r="AH310" s="229">
        <v>0.77800000000000002</v>
      </c>
      <c r="AI310" s="225">
        <f t="shared" si="201"/>
        <v>1282.928477653285</v>
      </c>
      <c r="AJ310" s="226">
        <f t="shared" si="202"/>
        <v>7.5091820092894626E-2</v>
      </c>
      <c r="AK310" s="226"/>
      <c r="AL310" s="226">
        <f t="shared" si="203"/>
        <v>166.18414829759868</v>
      </c>
      <c r="AM310" s="228">
        <f t="shared" si="204"/>
        <v>274039.04419735994</v>
      </c>
      <c r="AN310" s="226"/>
      <c r="AO310" s="227">
        <v>1.9124006359300001</v>
      </c>
      <c r="AP310" s="225"/>
      <c r="AQ310" s="226">
        <f t="shared" si="205"/>
        <v>3153.5645713584181</v>
      </c>
      <c r="AR310" s="226">
        <f t="shared" si="206"/>
        <v>3.3553600373009964E-3</v>
      </c>
      <c r="AS310" s="228">
        <f>AR310*'DADOS BASE'!W$38</f>
        <v>1006523.3477309879</v>
      </c>
      <c r="AT310" s="225"/>
      <c r="AU310" s="227">
        <v>0</v>
      </c>
      <c r="AV310" s="227">
        <v>0</v>
      </c>
      <c r="AW310" s="226">
        <f t="shared" si="207"/>
        <v>0</v>
      </c>
      <c r="AX310" s="226">
        <f>IF($AW$11&gt;0,(AW310/$AW$11)*'DADOS BASE'!W$40,0)</f>
        <v>0</v>
      </c>
      <c r="AY310" s="226">
        <f t="shared" si="208"/>
        <v>0</v>
      </c>
      <c r="AZ310" s="226">
        <f t="shared" si="209"/>
        <v>0</v>
      </c>
      <c r="BA310" s="226">
        <f>AZ310*'DADOS BASE'!W$41</f>
        <v>0</v>
      </c>
      <c r="BB310" s="225"/>
      <c r="BC310" s="227">
        <v>0</v>
      </c>
      <c r="BD310" s="226">
        <f>IF($BC$11&gt;0,(BC310/$BC$11)*'DADOS BASE'!W$39,0)</f>
        <v>0</v>
      </c>
      <c r="BE310" s="187"/>
    </row>
    <row r="311" spans="2:57" x14ac:dyDescent="0.3">
      <c r="B311" s="184" t="s">
        <v>382</v>
      </c>
      <c r="C311" s="184" t="s">
        <v>432</v>
      </c>
      <c r="D311" s="184" t="s">
        <v>94</v>
      </c>
      <c r="E311" s="184">
        <v>2015</v>
      </c>
      <c r="F311" s="185"/>
      <c r="H311" s="186">
        <f ca="1">IF(AND(E311&gt;=2018,SUMIF('DADOS BASE'!$C$101:$D$104,D311,'DADOS BASE'!$H$101:$H$104)&gt;J311),
SUMIF('DADOS BASE'!$C$101:$D$104,D311,'DADOS BASE'!$H$101:$H$104),
J311)</f>
        <v>244778.1163019767</v>
      </c>
      <c r="J311" s="186">
        <f t="shared" si="198"/>
        <v>244778.1163019767</v>
      </c>
      <c r="K311" s="186"/>
      <c r="L311" s="188">
        <v>248.57229125489999</v>
      </c>
      <c r="M311" s="186">
        <f t="shared" si="199"/>
        <v>1.939245818537791E-4</v>
      </c>
      <c r="N311" s="186">
        <f>L311*'DADOS BASE'!$I$29</f>
        <v>244778.1163019767</v>
      </c>
      <c r="O311" s="187"/>
      <c r="P311" s="188">
        <v>0</v>
      </c>
      <c r="Q311" s="186">
        <f>P311*'DADOS BASE'!$I$33</f>
        <v>0</v>
      </c>
      <c r="R311" s="186"/>
      <c r="S311" s="188">
        <v>0</v>
      </c>
      <c r="T311" s="186">
        <f>S311*'DADOS BASE'!$I$37</f>
        <v>0</v>
      </c>
      <c r="U311" s="186"/>
      <c r="V311" s="186">
        <f t="shared" si="200"/>
        <v>0</v>
      </c>
      <c r="W311" s="187"/>
      <c r="X311" s="186"/>
      <c r="Y311" s="186"/>
      <c r="Z311" s="185"/>
      <c r="AA311" s="186"/>
      <c r="AB311" s="186"/>
      <c r="AC311" s="186"/>
      <c r="AD311" s="186"/>
      <c r="AE311" s="188">
        <v>237</v>
      </c>
      <c r="AF311" s="188">
        <v>98.716020013917003</v>
      </c>
      <c r="AG311" s="186" t="s">
        <v>155</v>
      </c>
      <c r="AH311" s="189">
        <v>0.68899999999999995</v>
      </c>
      <c r="AI311" s="183">
        <f t="shared" si="201"/>
        <v>68.015337789588813</v>
      </c>
      <c r="AJ311" s="186">
        <f t="shared" si="202"/>
        <v>-4.4950851521207681E-2</v>
      </c>
      <c r="AK311" s="186"/>
      <c r="AL311" s="186">
        <f t="shared" si="203"/>
        <v>187.75298029080426</v>
      </c>
      <c r="AM311" s="187">
        <f t="shared" si="204"/>
        <v>18534.226960059597</v>
      </c>
      <c r="AN311" s="186"/>
      <c r="AO311" s="188">
        <v>1.8833333333333</v>
      </c>
      <c r="AQ311" s="186">
        <f t="shared" si="205"/>
        <v>185.91517102620708</v>
      </c>
      <c r="AR311" s="186">
        <f t="shared" si="206"/>
        <v>1.978118161444857E-4</v>
      </c>
      <c r="AS311" s="187">
        <f>AR311*'DADOS BASE'!W$38</f>
        <v>59338.553595771322</v>
      </c>
      <c r="AU311" s="188">
        <v>0</v>
      </c>
      <c r="AV311" s="188">
        <v>0</v>
      </c>
      <c r="AW311" s="186">
        <f t="shared" si="207"/>
        <v>0</v>
      </c>
      <c r="AX311" s="186">
        <f>IF($AW$11&gt;0,(AW311/$AW$11)*'DADOS BASE'!W$40,0)</f>
        <v>0</v>
      </c>
      <c r="AY311" s="186">
        <f t="shared" si="208"/>
        <v>0</v>
      </c>
      <c r="AZ311" s="186">
        <f t="shared" si="209"/>
        <v>0</v>
      </c>
      <c r="BA311" s="186">
        <f>AZ311*'DADOS BASE'!W$41</f>
        <v>0</v>
      </c>
      <c r="BC311" s="188">
        <v>0</v>
      </c>
      <c r="BD311" s="186">
        <f>IF($BC$11&gt;0,(BC311/$BC$11)*'DADOS BASE'!W$39,0)</f>
        <v>0</v>
      </c>
      <c r="BE311" s="187"/>
    </row>
    <row r="312" spans="2:57" x14ac:dyDescent="0.3">
      <c r="B312" s="223" t="s">
        <v>382</v>
      </c>
      <c r="C312" s="223" t="s">
        <v>433</v>
      </c>
      <c r="D312" s="223" t="s">
        <v>94</v>
      </c>
      <c r="E312" s="223">
        <v>2010</v>
      </c>
      <c r="F312" s="224"/>
      <c r="G312" s="225"/>
      <c r="H312" s="226">
        <f ca="1">IF(AND(E312&gt;=2018,SUMIF('DADOS BASE'!$C$101:$D$104,D312,'DADOS BASE'!$H$101:$H$104)&gt;J312),
SUMIF('DADOS BASE'!$C$101:$D$104,D312,'DADOS BASE'!$H$101:$H$104),
J312)</f>
        <v>2200051.4907315113</v>
      </c>
      <c r="I312" s="225"/>
      <c r="J312" s="226">
        <f t="shared" si="198"/>
        <v>2200051.4907315113</v>
      </c>
      <c r="K312" s="226"/>
      <c r="L312" s="227">
        <v>2234.1533148136</v>
      </c>
      <c r="M312" s="226">
        <f t="shared" si="199"/>
        <v>1.7429828770744826E-3</v>
      </c>
      <c r="N312" s="226">
        <f>L312*'DADOS BASE'!$I$29</f>
        <v>2200051.4907315113</v>
      </c>
      <c r="O312" s="228"/>
      <c r="P312" s="227">
        <v>0</v>
      </c>
      <c r="Q312" s="226">
        <f>P312*'DADOS BASE'!$I$33</f>
        <v>0</v>
      </c>
      <c r="R312" s="226"/>
      <c r="S312" s="227">
        <v>0</v>
      </c>
      <c r="T312" s="226">
        <f>S312*'DADOS BASE'!$I$37</f>
        <v>0</v>
      </c>
      <c r="U312" s="226"/>
      <c r="V312" s="226">
        <f t="shared" si="200"/>
        <v>0</v>
      </c>
      <c r="W312" s="228"/>
      <c r="X312" s="226"/>
      <c r="Y312" s="226"/>
      <c r="Z312" s="224"/>
      <c r="AA312" s="226"/>
      <c r="AB312" s="226"/>
      <c r="AC312" s="226"/>
      <c r="AD312" s="226"/>
      <c r="AE312" s="227">
        <v>1340</v>
      </c>
      <c r="AF312" s="227">
        <v>932.79457234889003</v>
      </c>
      <c r="AG312" s="226" t="s">
        <v>155</v>
      </c>
      <c r="AH312" s="229">
        <v>0.73399999999999999</v>
      </c>
      <c r="AI312" s="225">
        <f t="shared" si="201"/>
        <v>684.67121610408526</v>
      </c>
      <c r="AJ312" s="226">
        <f t="shared" si="202"/>
        <v>1.5744881317383375E-2</v>
      </c>
      <c r="AK312" s="226"/>
      <c r="AL312" s="226">
        <f t="shared" si="203"/>
        <v>176.84739108075649</v>
      </c>
      <c r="AM312" s="228">
        <f t="shared" si="204"/>
        <v>164962.28653419117</v>
      </c>
      <c r="AN312" s="226"/>
      <c r="AO312" s="227">
        <v>1.8371428571429</v>
      </c>
      <c r="AP312" s="225"/>
      <c r="AQ312" s="226">
        <f t="shared" si="205"/>
        <v>1713.6768857724294</v>
      </c>
      <c r="AR312" s="226">
        <f t="shared" si="206"/>
        <v>1.823334455108488E-3</v>
      </c>
      <c r="AS312" s="228">
        <f>AR312*'DADOS BASE'!W$38</f>
        <v>546954.32960609603</v>
      </c>
      <c r="AT312" s="225"/>
      <c r="AU312" s="227">
        <v>0</v>
      </c>
      <c r="AV312" s="227">
        <v>0</v>
      </c>
      <c r="AW312" s="226">
        <f t="shared" si="207"/>
        <v>0</v>
      </c>
      <c r="AX312" s="226">
        <f>IF($AW$11&gt;0,(AW312/$AW$11)*'DADOS BASE'!W$40,0)</f>
        <v>0</v>
      </c>
      <c r="AY312" s="226">
        <f t="shared" si="208"/>
        <v>0</v>
      </c>
      <c r="AZ312" s="226">
        <f t="shared" si="209"/>
        <v>0</v>
      </c>
      <c r="BA312" s="226">
        <f>AZ312*'DADOS BASE'!W$41</f>
        <v>0</v>
      </c>
      <c r="BB312" s="225"/>
      <c r="BC312" s="227">
        <v>0</v>
      </c>
      <c r="BD312" s="226">
        <f>IF($BC$11&gt;0,(BC312/$BC$11)*'DADOS BASE'!W$39,0)</f>
        <v>0</v>
      </c>
      <c r="BE312" s="187"/>
    </row>
    <row r="313" spans="2:57" x14ac:dyDescent="0.3">
      <c r="B313" s="184" t="s">
        <v>382</v>
      </c>
      <c r="C313" s="184" t="s">
        <v>434</v>
      </c>
      <c r="D313" s="184" t="s">
        <v>92</v>
      </c>
      <c r="E313" s="184">
        <v>2009</v>
      </c>
      <c r="F313" s="185"/>
      <c r="H313" s="186">
        <f ca="1">IF(AND(E313&gt;=2018,SUMIF('DADOS BASE'!$C$101:$D$104,D313,'DADOS BASE'!$H$101:$H$104)&gt;J313),
SUMIF('DADOS BASE'!$C$101:$D$104,D313,'DADOS BASE'!$H$101:$H$104),
J313)</f>
        <v>4055515.0605851971</v>
      </c>
      <c r="J313" s="186">
        <f t="shared" si="198"/>
        <v>4055515.0605851971</v>
      </c>
      <c r="K313" s="186"/>
      <c r="L313" s="188">
        <v>3891.4241645850998</v>
      </c>
      <c r="M313" s="186">
        <f t="shared" si="199"/>
        <v>3.0359087898457838E-3</v>
      </c>
      <c r="N313" s="186">
        <f>L313*'DADOS BASE'!$I$29</f>
        <v>3832025.9749400252</v>
      </c>
      <c r="O313" s="187"/>
      <c r="P313" s="188">
        <v>0</v>
      </c>
      <c r="Q313" s="186">
        <f>P313*'DADOS BASE'!$I$33</f>
        <v>0</v>
      </c>
      <c r="R313" s="186"/>
      <c r="S313" s="188">
        <v>283.69158836869002</v>
      </c>
      <c r="T313" s="186">
        <f>S313*'DADOS BASE'!$I$37</f>
        <v>223489.08564517193</v>
      </c>
      <c r="U313" s="186"/>
      <c r="V313" s="186">
        <f t="shared" si="200"/>
        <v>223489.08564517193</v>
      </c>
      <c r="W313" s="187"/>
      <c r="X313" s="186"/>
      <c r="Y313" s="186"/>
      <c r="Z313" s="185"/>
      <c r="AA313" s="186"/>
      <c r="AB313" s="186"/>
      <c r="AC313" s="186"/>
      <c r="AD313" s="186"/>
      <c r="AE313" s="188">
        <v>2541</v>
      </c>
      <c r="AF313" s="188">
        <v>1677.6944325382999</v>
      </c>
      <c r="AG313" s="186" t="s">
        <v>155</v>
      </c>
      <c r="AH313" s="189">
        <v>0.71399999999999997</v>
      </c>
      <c r="AI313" s="183">
        <f t="shared" si="201"/>
        <v>1197.8738248323461</v>
      </c>
      <c r="AJ313" s="186">
        <f t="shared" si="202"/>
        <v>-1.1230999944212651E-2</v>
      </c>
      <c r="AK313" s="186"/>
      <c r="AL313" s="186">
        <f t="shared" si="203"/>
        <v>181.69431961855551</v>
      </c>
      <c r="AM313" s="187">
        <f t="shared" si="204"/>
        <v>304827.54844788497</v>
      </c>
      <c r="AN313" s="186"/>
      <c r="AO313" s="188">
        <v>1.8718450053324001</v>
      </c>
      <c r="AQ313" s="186">
        <f t="shared" si="205"/>
        <v>3140.3839440207917</v>
      </c>
      <c r="AR313" s="186">
        <f t="shared" si="206"/>
        <v>3.3413359863470695E-3</v>
      </c>
      <c r="AS313" s="187">
        <f>AR313*'DADOS BASE'!W$38</f>
        <v>1002316.4863039051</v>
      </c>
      <c r="AU313" s="188">
        <v>130.47110602987999</v>
      </c>
      <c r="AV313" s="188">
        <v>111.25</v>
      </c>
      <c r="AW313" s="186">
        <f t="shared" si="207"/>
        <v>32.617776507469998</v>
      </c>
      <c r="AX313" s="186">
        <f>IF($AW$11&gt;0,(AW313/$AW$11)*'DADOS BASE'!W$40,0)</f>
        <v>5860.6438195840656</v>
      </c>
      <c r="AY313" s="186">
        <f t="shared" si="208"/>
        <v>61.055422040556209</v>
      </c>
      <c r="AZ313" s="186">
        <f t="shared" si="209"/>
        <v>3.1932178343507867E-3</v>
      </c>
      <c r="BA313" s="186">
        <f>AZ313*'DADOS BASE'!W$41</f>
        <v>23591.02641603713</v>
      </c>
      <c r="BC313" s="188">
        <v>168</v>
      </c>
      <c r="BD313" s="186">
        <f>IF($BC$11&gt;0,(BC313/$BC$11)*'DADOS BASE'!W$39,0)</f>
        <v>907738.27410235011</v>
      </c>
      <c r="BE313" s="187"/>
    </row>
    <row r="314" spans="2:57" x14ac:dyDescent="0.3">
      <c r="B314" s="223" t="s">
        <v>382</v>
      </c>
      <c r="C314" s="223" t="s">
        <v>435</v>
      </c>
      <c r="D314" s="223" t="s">
        <v>94</v>
      </c>
      <c r="E314" s="223">
        <v>2013</v>
      </c>
      <c r="F314" s="224"/>
      <c r="G314" s="225"/>
      <c r="H314" s="226">
        <f ca="1">IF(AND(E314&gt;=2018,SUMIF('DADOS BASE'!$C$101:$D$104,D314,'DADOS BASE'!$H$101:$H$104)&gt;J314),
SUMIF('DADOS BASE'!$C$101:$D$104,D314,'DADOS BASE'!$H$101:$H$104),
J314)</f>
        <v>1386909.2548632391</v>
      </c>
      <c r="I314" s="225"/>
      <c r="J314" s="226">
        <f t="shared" si="198"/>
        <v>1386909.2548632391</v>
      </c>
      <c r="K314" s="226"/>
      <c r="L314" s="227">
        <v>1391.4261628555</v>
      </c>
      <c r="M314" s="226">
        <f t="shared" si="199"/>
        <v>1.0855262082910945E-3</v>
      </c>
      <c r="N314" s="226">
        <f>L314*'DADOS BASE'!$I$29</f>
        <v>1370187.6158344455</v>
      </c>
      <c r="O314" s="228"/>
      <c r="P314" s="227">
        <v>0</v>
      </c>
      <c r="Q314" s="226">
        <f>P314*'DADOS BASE'!$I$33</f>
        <v>0</v>
      </c>
      <c r="R314" s="226"/>
      <c r="S314" s="227">
        <v>21.226040289672</v>
      </c>
      <c r="T314" s="226">
        <f>S314*'DADOS BASE'!$I$37</f>
        <v>16721.639028793743</v>
      </c>
      <c r="U314" s="226"/>
      <c r="V314" s="226">
        <f t="shared" si="200"/>
        <v>16721.639028793743</v>
      </c>
      <c r="W314" s="228"/>
      <c r="X314" s="226"/>
      <c r="Y314" s="226"/>
      <c r="Z314" s="224"/>
      <c r="AA314" s="226"/>
      <c r="AB314" s="226"/>
      <c r="AC314" s="226"/>
      <c r="AD314" s="226"/>
      <c r="AE314" s="227">
        <v>1182</v>
      </c>
      <c r="AF314" s="227">
        <v>619.85847563006996</v>
      </c>
      <c r="AG314" s="226" t="s">
        <v>155</v>
      </c>
      <c r="AH314" s="229">
        <v>0.74099999999999999</v>
      </c>
      <c r="AI314" s="225">
        <f t="shared" si="201"/>
        <v>459.31513044188182</v>
      </c>
      <c r="AJ314" s="226">
        <f t="shared" si="202"/>
        <v>2.5186439758941984E-2</v>
      </c>
      <c r="AK314" s="226"/>
      <c r="AL314" s="226">
        <f t="shared" si="203"/>
        <v>175.15096609252683</v>
      </c>
      <c r="AM314" s="228">
        <f t="shared" si="204"/>
        <v>108568.81084724775</v>
      </c>
      <c r="AN314" s="226"/>
      <c r="AO314" s="227">
        <v>2.0315106580167002</v>
      </c>
      <c r="AP314" s="225"/>
      <c r="AQ314" s="226">
        <f t="shared" si="205"/>
        <v>1259.2490997044722</v>
      </c>
      <c r="AR314" s="226">
        <f t="shared" si="206"/>
        <v>1.3398279979837538E-3</v>
      </c>
      <c r="AS314" s="228">
        <f>AR314*'DADOS BASE'!W$38</f>
        <v>401914.59244984156</v>
      </c>
      <c r="AT314" s="225"/>
      <c r="AU314" s="227">
        <v>21.226040289672</v>
      </c>
      <c r="AV314" s="227">
        <v>18.75</v>
      </c>
      <c r="AW314" s="226">
        <f t="shared" si="207"/>
        <v>5.3065100724179999</v>
      </c>
      <c r="AX314" s="226">
        <f>IF($AW$11&gt;0,(AW314/$AW$11)*'DADOS BASE'!W$40,0)</f>
        <v>953.45448983485562</v>
      </c>
      <c r="AY314" s="226">
        <f t="shared" si="208"/>
        <v>10.780231768990138</v>
      </c>
      <c r="AZ314" s="226">
        <f t="shared" si="209"/>
        <v>5.6380952244189321E-4</v>
      </c>
      <c r="BA314" s="226">
        <f>AZ314*'DADOS BASE'!W$41</f>
        <v>4165.3423059514434</v>
      </c>
      <c r="BB314" s="225"/>
      <c r="BC314" s="227">
        <v>0</v>
      </c>
      <c r="BD314" s="226">
        <f>IF($BC$11&gt;0,(BC314/$BC$11)*'DADOS BASE'!W$39,0)</f>
        <v>0</v>
      </c>
      <c r="BE314" s="187"/>
    </row>
    <row r="315" spans="2:57" x14ac:dyDescent="0.3">
      <c r="B315" s="184" t="s">
        <v>382</v>
      </c>
      <c r="C315" s="184" t="s">
        <v>436</v>
      </c>
      <c r="D315" s="184" t="s">
        <v>94</v>
      </c>
      <c r="E315" s="184">
        <v>2013</v>
      </c>
      <c r="F315" s="185"/>
      <c r="H315" s="186">
        <f ca="1">IF(AND(E315&gt;=2018,SUMIF('DADOS BASE'!$C$101:$D$104,D315,'DADOS BASE'!$H$101:$H$104)&gt;J315),
SUMIF('DADOS BASE'!$C$101:$D$104,D315,'DADOS BASE'!$H$101:$H$104),
J315)</f>
        <v>1237501.9459160415</v>
      </c>
      <c r="J315" s="186">
        <f t="shared" si="198"/>
        <v>1237501.9459160415</v>
      </c>
      <c r="K315" s="186"/>
      <c r="L315" s="188">
        <v>1256.6838031765001</v>
      </c>
      <c r="M315" s="186">
        <f t="shared" si="199"/>
        <v>9.8040646374182561E-4</v>
      </c>
      <c r="N315" s="186">
        <f>L315*'DADOS BASE'!$I$29</f>
        <v>1237501.9459160415</v>
      </c>
      <c r="O315" s="187"/>
      <c r="P315" s="188">
        <v>0</v>
      </c>
      <c r="Q315" s="186">
        <f>P315*'DADOS BASE'!$I$33</f>
        <v>0</v>
      </c>
      <c r="R315" s="186"/>
      <c r="S315" s="188">
        <v>0</v>
      </c>
      <c r="T315" s="186">
        <f>S315*'DADOS BASE'!$I$37</f>
        <v>0</v>
      </c>
      <c r="U315" s="186"/>
      <c r="V315" s="186">
        <f t="shared" si="200"/>
        <v>0</v>
      </c>
      <c r="W315" s="187"/>
      <c r="X315" s="186"/>
      <c r="Y315" s="186"/>
      <c r="Z315" s="185"/>
      <c r="AA315" s="186"/>
      <c r="AB315" s="186"/>
      <c r="AC315" s="186"/>
      <c r="AD315" s="186"/>
      <c r="AE315" s="188">
        <v>1290</v>
      </c>
      <c r="AF315" s="188">
        <v>749.64839664654005</v>
      </c>
      <c r="AG315" s="186" t="s">
        <v>155</v>
      </c>
      <c r="AH315" s="189">
        <v>0.75800000000000001</v>
      </c>
      <c r="AI315" s="183">
        <f t="shared" si="201"/>
        <v>568.23348465807737</v>
      </c>
      <c r="AJ315" s="186">
        <f t="shared" si="202"/>
        <v>4.8115938831298603E-2</v>
      </c>
      <c r="AK315" s="186"/>
      <c r="AL315" s="186">
        <f t="shared" si="203"/>
        <v>171.0310768353977</v>
      </c>
      <c r="AM315" s="187">
        <f t="shared" si="204"/>
        <v>128213.17252638708</v>
      </c>
      <c r="AN315" s="186"/>
      <c r="AO315" s="188">
        <v>2.1501614639397002</v>
      </c>
      <c r="AQ315" s="186">
        <f t="shared" si="205"/>
        <v>1611.8650939735735</v>
      </c>
      <c r="AR315" s="186">
        <f t="shared" si="206"/>
        <v>1.7150077632656958E-3</v>
      </c>
      <c r="AS315" s="187">
        <f>AR315*'DADOS BASE'!W$38</f>
        <v>514459.05538511107</v>
      </c>
      <c r="AU315" s="188">
        <v>0</v>
      </c>
      <c r="AV315" s="188">
        <v>0</v>
      </c>
      <c r="AW315" s="186">
        <f t="shared" si="207"/>
        <v>0</v>
      </c>
      <c r="AX315" s="186">
        <f>IF($AW$11&gt;0,(AW315/$AW$11)*'DADOS BASE'!W$40,0)</f>
        <v>0</v>
      </c>
      <c r="AY315" s="186">
        <f t="shared" si="208"/>
        <v>0</v>
      </c>
      <c r="AZ315" s="186">
        <f t="shared" si="209"/>
        <v>0</v>
      </c>
      <c r="BA315" s="186">
        <f>AZ315*'DADOS BASE'!W$41</f>
        <v>0</v>
      </c>
      <c r="BC315" s="188">
        <v>0</v>
      </c>
      <c r="BD315" s="186">
        <f>IF($BC$11&gt;0,(BC315/$BC$11)*'DADOS BASE'!W$39,0)</f>
        <v>0</v>
      </c>
      <c r="BE315" s="187"/>
    </row>
    <row r="316" spans="2:57" x14ac:dyDescent="0.3">
      <c r="F316" s="185"/>
      <c r="H316" s="186"/>
      <c r="J316" s="186"/>
      <c r="K316" s="186"/>
      <c r="L316" s="186"/>
      <c r="M316" s="186"/>
      <c r="N316" s="186"/>
      <c r="O316" s="187"/>
      <c r="P316" s="186"/>
      <c r="Q316" s="186"/>
      <c r="R316" s="186"/>
      <c r="S316" s="186"/>
      <c r="T316" s="186"/>
      <c r="U316" s="186"/>
      <c r="V316" s="186"/>
      <c r="W316" s="187"/>
      <c r="X316" s="186"/>
      <c r="Y316" s="186"/>
      <c r="Z316" s="185"/>
      <c r="AA316" s="186"/>
      <c r="AB316" s="186"/>
      <c r="AC316" s="186"/>
      <c r="AD316" s="186"/>
      <c r="AE316" s="186"/>
      <c r="AF316" s="186"/>
      <c r="AG316" s="186"/>
      <c r="AH316" s="185"/>
      <c r="AJ316" s="186"/>
      <c r="AK316" s="186"/>
      <c r="AL316" s="186"/>
      <c r="AM316" s="187"/>
      <c r="AN316" s="186"/>
      <c r="AO316" s="186"/>
      <c r="AQ316" s="186"/>
      <c r="AR316" s="186"/>
      <c r="AS316" s="187"/>
      <c r="AU316" s="186"/>
      <c r="AV316" s="186"/>
      <c r="AW316" s="186"/>
      <c r="AX316" s="186"/>
      <c r="AY316" s="186"/>
      <c r="AZ316" s="186"/>
      <c r="BA316" s="186"/>
      <c r="BC316" s="186"/>
      <c r="BD316" s="186"/>
      <c r="BE316" s="187"/>
    </row>
    <row r="317" spans="2:57" x14ac:dyDescent="0.3">
      <c r="B317" s="209" t="s">
        <v>382</v>
      </c>
      <c r="C317" s="209" t="s">
        <v>437</v>
      </c>
      <c r="D317" s="211" t="s">
        <v>154</v>
      </c>
      <c r="E317" s="211"/>
      <c r="F317" s="210"/>
      <c r="G317" s="211"/>
      <c r="H317" s="212">
        <f ca="1">SUM(H318:H327)</f>
        <v>35994111.321520902</v>
      </c>
      <c r="I317" s="211"/>
      <c r="J317" s="212">
        <f>SUM(J318:J327)</f>
        <v>35994111.321520902</v>
      </c>
      <c r="K317" s="212"/>
      <c r="L317" s="212">
        <f>SUM(L318:L327)</f>
        <v>24675.374067167631</v>
      </c>
      <c r="M317" s="212">
        <f>SUM(M318:M327)</f>
        <v>1.9250583296728328E-2</v>
      </c>
      <c r="N317" s="212">
        <f>SUM(N318:N327)</f>
        <v>24298732.383708011</v>
      </c>
      <c r="O317" s="214"/>
      <c r="P317" s="212">
        <f>SUM(P318:P327)</f>
        <v>678.61998063891701</v>
      </c>
      <c r="Q317" s="212">
        <f>SUM(Q318:Q327)</f>
        <v>167065.40349597746</v>
      </c>
      <c r="R317" s="212"/>
      <c r="S317" s="212">
        <f>SUM(S318:S327)</f>
        <v>14633.759712790179</v>
      </c>
      <c r="T317" s="212">
        <f>SUM(T318:T327)</f>
        <v>11528313.534316912</v>
      </c>
      <c r="U317" s="212"/>
      <c r="V317" s="212">
        <f>SUM(V318:V327)</f>
        <v>11695378.937812891</v>
      </c>
      <c r="W317" s="214"/>
      <c r="X317" s="212">
        <f>SUMIF(INDICADORES!$D$13:$D$53,C317,INDICADORES!$L$13:$L$53)</f>
        <v>4.1500340317507031E-2</v>
      </c>
      <c r="Y317" s="212">
        <f>X317*'DADOS BASE'!$I$79</f>
        <v>1723227.6171970344</v>
      </c>
      <c r="Z317" s="210">
        <f>SUMIF(INDICADORES!$D$13:$D$53,C317,INDICADORES!$R$13:$R$53)</f>
        <v>3.6033583586451937E-2</v>
      </c>
      <c r="AA317" s="212">
        <f>Z317*'DADOS BASE'!$I$84</f>
        <v>1496230.2937201986</v>
      </c>
      <c r="AB317" s="212">
        <f>SUMIF(INDICADORES!$D$13:$D$53,C317,INDICADORES!$Z$13:$Z$53)</f>
        <v>2.4254867954604638E-2</v>
      </c>
      <c r="AC317" s="212">
        <f>AB317*'DADOS BASE'!$I$89</f>
        <v>2014280.2681167424</v>
      </c>
      <c r="AD317" s="212"/>
      <c r="AE317" s="212">
        <f>SUM(AE318:AE327)</f>
        <v>12918</v>
      </c>
      <c r="AF317" s="212">
        <f>SUM(AF318:AF327)</f>
        <v>10214.071722250421</v>
      </c>
      <c r="AG317" s="212" t="s">
        <v>155</v>
      </c>
      <c r="AH317" s="210"/>
      <c r="AI317" s="211"/>
      <c r="AJ317" s="212"/>
      <c r="AK317" s="212"/>
      <c r="AL317" s="212"/>
      <c r="AM317" s="214">
        <f>SUM(AM318:AM327)</f>
        <v>1807990.2493082716</v>
      </c>
      <c r="AN317" s="212"/>
      <c r="AO317" s="212"/>
      <c r="AP317" s="211"/>
      <c r="AQ317" s="212">
        <f>SUM(AQ318:AQ327)</f>
        <v>14019.113089288625</v>
      </c>
      <c r="AR317" s="212"/>
      <c r="AS317" s="214">
        <f>SUM(AS318:AS327)</f>
        <v>4474480.9625927145</v>
      </c>
      <c r="AT317" s="211"/>
      <c r="AU317" s="212">
        <f t="shared" ref="AU317:BA317" si="210">SUM(AU318:AU327)</f>
        <v>9520.6883790073098</v>
      </c>
      <c r="AV317" s="212">
        <f t="shared" si="210"/>
        <v>8085.75</v>
      </c>
      <c r="AW317" s="212">
        <f t="shared" si="210"/>
        <v>2380.1720947518274</v>
      </c>
      <c r="AX317" s="212">
        <f t="shared" si="210"/>
        <v>427660.69212164514</v>
      </c>
      <c r="AY317" s="212">
        <f t="shared" si="210"/>
        <v>3343.7012297950814</v>
      </c>
      <c r="AZ317" s="212">
        <f t="shared" si="210"/>
        <v>0.17487662918176181</v>
      </c>
      <c r="BA317" s="212">
        <f t="shared" si="210"/>
        <v>1291962.9641907066</v>
      </c>
      <c r="BB317" s="211"/>
      <c r="BC317" s="212">
        <f>SUM(BC318:BC327)</f>
        <v>983</v>
      </c>
      <c r="BD317" s="212">
        <f>SUM(BD318:BD327)</f>
        <v>5311349.5443012509</v>
      </c>
      <c r="BE317" s="187"/>
    </row>
    <row r="318" spans="2:57" x14ac:dyDescent="0.3">
      <c r="B318" s="216" t="s">
        <v>382</v>
      </c>
      <c r="C318" s="218" t="s">
        <v>156</v>
      </c>
      <c r="D318" s="218" t="s">
        <v>157</v>
      </c>
      <c r="E318" s="218"/>
      <c r="F318" s="217"/>
      <c r="G318" s="218"/>
      <c r="H318" s="219"/>
      <c r="I318" s="218"/>
      <c r="J318" s="219"/>
      <c r="K318" s="219"/>
      <c r="L318" s="219">
        <v>0</v>
      </c>
      <c r="M318" s="219">
        <v>0</v>
      </c>
      <c r="N318" s="219">
        <v>0</v>
      </c>
      <c r="O318" s="221"/>
      <c r="P318" s="219"/>
      <c r="Q318" s="219"/>
      <c r="R318" s="219"/>
      <c r="S318" s="219"/>
      <c r="T318" s="219"/>
      <c r="U318" s="219"/>
      <c r="V318" s="219"/>
      <c r="W318" s="221"/>
      <c r="X318" s="219"/>
      <c r="Y318" s="219"/>
      <c r="Z318" s="217"/>
      <c r="AA318" s="219"/>
      <c r="AB318" s="219"/>
      <c r="AC318" s="219"/>
      <c r="AD318" s="219"/>
      <c r="AE318" s="219"/>
      <c r="AF318" s="219"/>
      <c r="AG318" s="219" t="s">
        <v>155</v>
      </c>
      <c r="AH318" s="217"/>
      <c r="AI318" s="218"/>
      <c r="AJ318" s="219"/>
      <c r="AK318" s="219"/>
      <c r="AL318" s="219"/>
      <c r="AM318" s="221"/>
      <c r="AN318" s="219"/>
      <c r="AO318" s="219"/>
      <c r="AP318" s="218"/>
      <c r="AQ318" s="219"/>
      <c r="AR318" s="219"/>
      <c r="AS318" s="221"/>
      <c r="AT318" s="218"/>
      <c r="AU318" s="219"/>
      <c r="AV318" s="219"/>
      <c r="AW318" s="219"/>
      <c r="AX318" s="219"/>
      <c r="AY318" s="219"/>
      <c r="AZ318" s="219"/>
      <c r="BA318" s="219"/>
      <c r="BB318" s="218"/>
      <c r="BC318" s="219"/>
      <c r="BD318" s="219"/>
      <c r="BE318" s="187"/>
    </row>
    <row r="319" spans="2:57" x14ac:dyDescent="0.3">
      <c r="B319" s="184" t="s">
        <v>382</v>
      </c>
      <c r="C319" s="184" t="s">
        <v>438</v>
      </c>
      <c r="D319" s="184" t="s">
        <v>98</v>
      </c>
      <c r="E319" s="184">
        <v>2014</v>
      </c>
      <c r="F319" s="185"/>
      <c r="H319" s="186">
        <f ca="1">IF(AND(E319&gt;=2018,SUMIF('DADOS BASE'!$C$101:$D$104,D319,'DADOS BASE'!$H$101:$H$104)&gt;J319),
SUMIF('DADOS BASE'!$C$101:$D$104,D319,'DADOS BASE'!$H$101:$H$104),
J319)</f>
        <v>2389859.9611053523</v>
      </c>
      <c r="J319" s="186">
        <f t="shared" ref="J319:J327" si="211">N319+Q319+T319</f>
        <v>2389859.9611053523</v>
      </c>
      <c r="K319" s="186"/>
      <c r="L319" s="188">
        <v>618.64529441304001</v>
      </c>
      <c r="M319" s="186">
        <f t="shared" ref="M319:M327" si="212">L319/$L$11</f>
        <v>4.8263838833038843E-4</v>
      </c>
      <c r="N319" s="186">
        <f>L319*'DADOS BASE'!$I$29</f>
        <v>609202.3735269031</v>
      </c>
      <c r="O319" s="187"/>
      <c r="P319" s="188">
        <v>0</v>
      </c>
      <c r="Q319" s="186">
        <f>P319*'DADOS BASE'!$I$33</f>
        <v>0</v>
      </c>
      <c r="R319" s="186"/>
      <c r="S319" s="188">
        <v>2260.3232632260001</v>
      </c>
      <c r="T319" s="186">
        <f>S319*'DADOS BASE'!$I$37</f>
        <v>1780657.5875784494</v>
      </c>
      <c r="U319" s="186"/>
      <c r="V319" s="186">
        <f t="shared" ref="V319:V327" si="213">T319+Q319</f>
        <v>1780657.5875784494</v>
      </c>
      <c r="W319" s="187"/>
      <c r="X319" s="186"/>
      <c r="Y319" s="186"/>
      <c r="Z319" s="185"/>
      <c r="AA319" s="186"/>
      <c r="AB319" s="186"/>
      <c r="AC319" s="186"/>
      <c r="AD319" s="186"/>
      <c r="AE319" s="188">
        <v>367</v>
      </c>
      <c r="AF319" s="188">
        <v>344.30583083104</v>
      </c>
      <c r="AG319" s="186" t="s">
        <v>155</v>
      </c>
      <c r="AH319" s="189">
        <v>0.68200000000000005</v>
      </c>
      <c r="AI319" s="183">
        <f t="shared" ref="AI319:AI327" si="214">AF319*AH319</f>
        <v>234.81657662676929</v>
      </c>
      <c r="AJ319" s="186">
        <f t="shared" ref="AJ319:AJ327" si="215">(AH319-$AI$12)*$AJ$12</f>
        <v>-5.439240996276614E-2</v>
      </c>
      <c r="AK319" s="186"/>
      <c r="AL319" s="186">
        <f t="shared" ref="AL319:AL327" si="216">$AL$11-(AJ319*$AL$11)</f>
        <v>189.4494052790339</v>
      </c>
      <c r="AM319" s="187">
        <f t="shared" ref="AM319:AM327" si="217">AF319*AL319</f>
        <v>65228.534885044181</v>
      </c>
      <c r="AN319" s="186"/>
      <c r="AO319" s="188">
        <v>1.4117151285292999</v>
      </c>
      <c r="AQ319" s="186">
        <f t="shared" ref="AQ319:AQ327" si="218">AF319*AO319</f>
        <v>486.06175022502902</v>
      </c>
      <c r="AR319" s="186">
        <f t="shared" ref="AR319:AR327" si="219">AQ319/$AQ$11</f>
        <v>5.1716466730317026E-4</v>
      </c>
      <c r="AS319" s="187">
        <f>AR319*'DADOS BASE'!W$38</f>
        <v>155136.35093564595</v>
      </c>
      <c r="AU319" s="188">
        <v>2223.6807564139999</v>
      </c>
      <c r="AV319" s="188">
        <v>2149</v>
      </c>
      <c r="AW319" s="186">
        <f t="shared" ref="AW319:AW327" si="220">AU319/4</f>
        <v>555.92018910349998</v>
      </c>
      <c r="AX319" s="186">
        <f>IF($AW$11&gt;0,(AW319/$AW$11)*'DADOS BASE'!W$40,0)</f>
        <v>99885.723961143885</v>
      </c>
      <c r="AY319" s="186">
        <f t="shared" ref="AY319:AY327" si="221">AO319*AW319</f>
        <v>784.80094121228024</v>
      </c>
      <c r="AZ319" s="186">
        <f t="shared" ref="AZ319:AZ327" si="222">IF($AY$11&gt;0,AY319/$AY$11,0)</f>
        <v>4.1045336812669864E-2</v>
      </c>
      <c r="BA319" s="186">
        <f>AZ319*'DADOS BASE'!W$41</f>
        <v>303236.94631365524</v>
      </c>
      <c r="BC319" s="188">
        <v>0</v>
      </c>
      <c r="BD319" s="186">
        <f>IF($BC$11&gt;0,(BC319/$BC$11)*'DADOS BASE'!W$39,0)</f>
        <v>0</v>
      </c>
      <c r="BE319" s="187"/>
    </row>
    <row r="320" spans="2:57" x14ac:dyDescent="0.3">
      <c r="B320" s="223" t="s">
        <v>382</v>
      </c>
      <c r="C320" s="223" t="s">
        <v>439</v>
      </c>
      <c r="D320" s="223" t="s">
        <v>98</v>
      </c>
      <c r="E320" s="223">
        <v>2014</v>
      </c>
      <c r="F320" s="224"/>
      <c r="G320" s="225"/>
      <c r="H320" s="226">
        <f ca="1">IF(AND(E320&gt;=2018,SUMIF('DADOS BASE'!$C$101:$D$104,D320,'DADOS BASE'!$H$101:$H$104)&gt;J320),
SUMIF('DADOS BASE'!$C$101:$D$104,D320,'DADOS BASE'!$H$101:$H$104),
J320)</f>
        <v>1460667.0683623434</v>
      </c>
      <c r="I320" s="225"/>
      <c r="J320" s="226">
        <f t="shared" si="211"/>
        <v>1460667.0683623434</v>
      </c>
      <c r="K320" s="226"/>
      <c r="L320" s="227">
        <v>776.77652352169002</v>
      </c>
      <c r="M320" s="226">
        <f t="shared" si="212"/>
        <v>6.0600504487970169E-4</v>
      </c>
      <c r="N320" s="226">
        <f>L320*'DADOS BASE'!$I$29</f>
        <v>764919.90823007422</v>
      </c>
      <c r="O320" s="228"/>
      <c r="P320" s="227">
        <v>0</v>
      </c>
      <c r="Q320" s="226">
        <f>P320*'DADOS BASE'!$I$33</f>
        <v>0</v>
      </c>
      <c r="R320" s="226"/>
      <c r="S320" s="227">
        <v>883.16445696279004</v>
      </c>
      <c r="T320" s="226">
        <f>S320*'DADOS BASE'!$I$37</f>
        <v>695747.16013226914</v>
      </c>
      <c r="U320" s="226"/>
      <c r="V320" s="226">
        <f t="shared" si="213"/>
        <v>695747.16013226914</v>
      </c>
      <c r="W320" s="228"/>
      <c r="X320" s="226"/>
      <c r="Y320" s="226"/>
      <c r="Z320" s="224"/>
      <c r="AA320" s="226"/>
      <c r="AB320" s="226"/>
      <c r="AC320" s="226"/>
      <c r="AD320" s="226"/>
      <c r="AE320" s="227">
        <v>472</v>
      </c>
      <c r="AF320" s="227">
        <v>444.16114059841999</v>
      </c>
      <c r="AG320" s="226" t="s">
        <v>155</v>
      </c>
      <c r="AH320" s="229">
        <v>0.74399999999999999</v>
      </c>
      <c r="AI320" s="225">
        <f t="shared" si="214"/>
        <v>330.45588860522446</v>
      </c>
      <c r="AJ320" s="226">
        <f t="shared" si="215"/>
        <v>2.9232821948181387E-2</v>
      </c>
      <c r="AK320" s="226"/>
      <c r="AL320" s="226">
        <f t="shared" si="216"/>
        <v>174.423926811857</v>
      </c>
      <c r="AM320" s="228">
        <f t="shared" si="217"/>
        <v>77472.330280409733</v>
      </c>
      <c r="AN320" s="226"/>
      <c r="AO320" s="227">
        <v>1.5852987421383999</v>
      </c>
      <c r="AP320" s="225"/>
      <c r="AQ320" s="226">
        <f t="shared" si="218"/>
        <v>704.12809749743224</v>
      </c>
      <c r="AR320" s="226">
        <f t="shared" si="219"/>
        <v>7.4918500193130893E-4</v>
      </c>
      <c r="AS320" s="228">
        <f>AR320*'DADOS BASE'!W$38</f>
        <v>224736.59691682822</v>
      </c>
      <c r="AT320" s="225"/>
      <c r="AU320" s="227">
        <v>633.89611850335996</v>
      </c>
      <c r="AV320" s="227">
        <v>765.25</v>
      </c>
      <c r="AW320" s="226">
        <f t="shared" si="220"/>
        <v>158.47402962583999</v>
      </c>
      <c r="AX320" s="226">
        <f>IF($AW$11&gt;0,(AW320/$AW$11)*'DADOS BASE'!W$40,0)</f>
        <v>28474.039058994724</v>
      </c>
      <c r="AY320" s="226">
        <f t="shared" si="221"/>
        <v>251.22867982744765</v>
      </c>
      <c r="AZ320" s="226">
        <f t="shared" si="222"/>
        <v>1.3139339212044555E-2</v>
      </c>
      <c r="BA320" s="226">
        <f>AZ320*'DADOS BASE'!W$41</f>
        <v>97071.516733413111</v>
      </c>
      <c r="BB320" s="225"/>
      <c r="BC320" s="227">
        <v>0</v>
      </c>
      <c r="BD320" s="226">
        <f>IF($BC$11&gt;0,(BC320/$BC$11)*'DADOS BASE'!W$39,0)</f>
        <v>0</v>
      </c>
      <c r="BE320" s="187"/>
    </row>
    <row r="321" spans="2:57" x14ac:dyDescent="0.3">
      <c r="B321" s="184" t="s">
        <v>382</v>
      </c>
      <c r="C321" s="184" t="s">
        <v>440</v>
      </c>
      <c r="D321" s="184" t="s">
        <v>92</v>
      </c>
      <c r="E321" s="184">
        <v>2009</v>
      </c>
      <c r="F321" s="185"/>
      <c r="H321" s="186">
        <f ca="1">IF(AND(E321&gt;=2018,SUMIF('DADOS BASE'!$C$101:$D$104,D321,'DADOS BASE'!$H$101:$H$104)&gt;J321),
SUMIF('DADOS BASE'!$C$101:$D$104,D321,'DADOS BASE'!$H$101:$H$104),
J321)</f>
        <v>5651566.0897834683</v>
      </c>
      <c r="J321" s="186">
        <f t="shared" si="211"/>
        <v>5651566.0897834683</v>
      </c>
      <c r="K321" s="186"/>
      <c r="L321" s="188">
        <v>4661.9466115975001</v>
      </c>
      <c r="M321" s="186">
        <f t="shared" si="212"/>
        <v>3.637034694070577E-3</v>
      </c>
      <c r="N321" s="186">
        <f>L321*'DADOS BASE'!$I$29</f>
        <v>4590787.2680669278</v>
      </c>
      <c r="O321" s="187"/>
      <c r="P321" s="188">
        <v>649.11080711353998</v>
      </c>
      <c r="Q321" s="186">
        <f>P321*'DADOS BASE'!$I$33</f>
        <v>159800.716156226</v>
      </c>
      <c r="R321" s="186"/>
      <c r="S321" s="188">
        <v>1143.6796079502001</v>
      </c>
      <c r="T321" s="186">
        <f>S321*'DADOS BASE'!$I$37</f>
        <v>900978.10556031473</v>
      </c>
      <c r="U321" s="186"/>
      <c r="V321" s="186">
        <f t="shared" si="213"/>
        <v>1060778.8217165407</v>
      </c>
      <c r="W321" s="187"/>
      <c r="X321" s="186"/>
      <c r="Y321" s="186"/>
      <c r="Z321" s="185"/>
      <c r="AA321" s="186"/>
      <c r="AB321" s="186"/>
      <c r="AC321" s="186"/>
      <c r="AD321" s="186"/>
      <c r="AE321" s="188">
        <v>2121</v>
      </c>
      <c r="AF321" s="188">
        <v>1803.7341122539001</v>
      </c>
      <c r="AG321" s="186" t="s">
        <v>155</v>
      </c>
      <c r="AH321" s="189">
        <v>0.69199999999999995</v>
      </c>
      <c r="AI321" s="183">
        <f t="shared" si="214"/>
        <v>1248.1840056796989</v>
      </c>
      <c r="AJ321" s="186">
        <f t="shared" si="215"/>
        <v>-4.0904469331968278E-2</v>
      </c>
      <c r="AK321" s="186"/>
      <c r="AL321" s="186">
        <f t="shared" si="216"/>
        <v>187.0259410101344</v>
      </c>
      <c r="AM321" s="187">
        <f t="shared" si="217"/>
        <v>337345.06967636506</v>
      </c>
      <c r="AN321" s="186"/>
      <c r="AO321" s="188">
        <v>1.3680584551148001</v>
      </c>
      <c r="AQ321" s="186">
        <f t="shared" si="218"/>
        <v>2467.6137030479358</v>
      </c>
      <c r="AR321" s="186">
        <f t="shared" si="219"/>
        <v>2.6255154189333196E-3</v>
      </c>
      <c r="AS321" s="187">
        <f>AR321*'DADOS BASE'!W$38</f>
        <v>787588.37788084161</v>
      </c>
      <c r="AU321" s="188">
        <v>602.92032349321005</v>
      </c>
      <c r="AV321" s="188">
        <v>704.75</v>
      </c>
      <c r="AW321" s="186">
        <f t="shared" si="220"/>
        <v>150.73008087330251</v>
      </c>
      <c r="AX321" s="186">
        <f>IF($AW$11&gt;0,(AW321/$AW$11)*'DADOS BASE'!W$40,0)</f>
        <v>27082.634424612592</v>
      </c>
      <c r="AY321" s="186">
        <f t="shared" si="221"/>
        <v>206.2075615788591</v>
      </c>
      <c r="AZ321" s="186">
        <f t="shared" si="222"/>
        <v>1.0784720524480424E-2</v>
      </c>
      <c r="BA321" s="186">
        <f>AZ321*'DADOS BASE'!W$41</f>
        <v>79675.938185508145</v>
      </c>
      <c r="BC321" s="188">
        <v>297</v>
      </c>
      <c r="BD321" s="186">
        <f>IF($BC$11&gt;0,(BC321/$BC$11)*'DADOS BASE'!W$39,0)</f>
        <v>1604751.5917166546</v>
      </c>
      <c r="BE321" s="187"/>
    </row>
    <row r="322" spans="2:57" x14ac:dyDescent="0.3">
      <c r="B322" s="223" t="s">
        <v>382</v>
      </c>
      <c r="C322" s="223" t="s">
        <v>441</v>
      </c>
      <c r="D322" s="223" t="s">
        <v>92</v>
      </c>
      <c r="E322" s="223">
        <v>2009</v>
      </c>
      <c r="F322" s="224"/>
      <c r="G322" s="225"/>
      <c r="H322" s="226">
        <f ca="1">IF(AND(E322&gt;=2018,SUMIF('DADOS BASE'!$C$101:$D$104,D322,'DADOS BASE'!$H$101:$H$104)&gt;J322),
SUMIF('DADOS BASE'!$C$101:$D$104,D322,'DADOS BASE'!$H$101:$H$104),
J322)</f>
        <v>6883878.3452362744</v>
      </c>
      <c r="I322" s="225"/>
      <c r="J322" s="226">
        <f t="shared" si="211"/>
        <v>6883878.3452362744</v>
      </c>
      <c r="K322" s="226"/>
      <c r="L322" s="227">
        <v>5830.6224611691996</v>
      </c>
      <c r="M322" s="226">
        <f t="shared" si="212"/>
        <v>4.5487814310324918E-3</v>
      </c>
      <c r="N322" s="226">
        <f>L322*'DADOS BASE'!$I$29</f>
        <v>5741624.6022749655</v>
      </c>
      <c r="O322" s="228"/>
      <c r="P322" s="227">
        <v>0</v>
      </c>
      <c r="Q322" s="226">
        <f>P322*'DADOS BASE'!$I$33</f>
        <v>0</v>
      </c>
      <c r="R322" s="226"/>
      <c r="S322" s="227">
        <v>1449.9490108222001</v>
      </c>
      <c r="T322" s="226">
        <f>S322*'DADOS BASE'!$I$37</f>
        <v>1142253.7429613087</v>
      </c>
      <c r="U322" s="226"/>
      <c r="V322" s="226">
        <f t="shared" si="213"/>
        <v>1142253.7429613087</v>
      </c>
      <c r="W322" s="228"/>
      <c r="X322" s="226"/>
      <c r="Y322" s="226"/>
      <c r="Z322" s="224"/>
      <c r="AA322" s="226"/>
      <c r="AB322" s="226"/>
      <c r="AC322" s="226"/>
      <c r="AD322" s="226"/>
      <c r="AE322" s="227">
        <v>2792</v>
      </c>
      <c r="AF322" s="227">
        <v>2165.9184606610002</v>
      </c>
      <c r="AG322" s="226" t="s">
        <v>155</v>
      </c>
      <c r="AH322" s="229">
        <v>0.71499999999999997</v>
      </c>
      <c r="AI322" s="225">
        <f t="shared" si="214"/>
        <v>1548.631699372615</v>
      </c>
      <c r="AJ322" s="226">
        <f t="shared" si="215"/>
        <v>-9.8822058811328505E-3</v>
      </c>
      <c r="AK322" s="226"/>
      <c r="AL322" s="226">
        <f t="shared" si="216"/>
        <v>181.45197319166556</v>
      </c>
      <c r="AM322" s="228">
        <f t="shared" si="217"/>
        <v>393010.17845919332</v>
      </c>
      <c r="AN322" s="226"/>
      <c r="AO322" s="227">
        <v>1.2996102355532999</v>
      </c>
      <c r="AP322" s="225"/>
      <c r="AQ322" s="226">
        <f t="shared" si="218"/>
        <v>2814.8498008488832</v>
      </c>
      <c r="AR322" s="226">
        <f t="shared" si="219"/>
        <v>2.9949710301015297E-3</v>
      </c>
      <c r="AS322" s="228">
        <f>AR322*'DADOS BASE'!W$38</f>
        <v>898415.73901557946</v>
      </c>
      <c r="AT322" s="225"/>
      <c r="AU322" s="227">
        <v>1246.4593205225999</v>
      </c>
      <c r="AV322" s="227">
        <v>1731.5</v>
      </c>
      <c r="AW322" s="226">
        <f t="shared" si="220"/>
        <v>311.61483013064998</v>
      </c>
      <c r="AX322" s="226">
        <f>IF($AW$11&gt;0,(AW322/$AW$11)*'DADOS BASE'!W$40,0)</f>
        <v>55989.822846376068</v>
      </c>
      <c r="AY322" s="226">
        <f t="shared" si="221"/>
        <v>404.97782278799554</v>
      </c>
      <c r="AZ322" s="226">
        <f t="shared" si="222"/>
        <v>2.1180467893321259E-2</v>
      </c>
      <c r="BA322" s="226">
        <f>AZ322*'DADOS BASE'!W$41</f>
        <v>156478.19957668369</v>
      </c>
      <c r="BB322" s="225"/>
      <c r="BC322" s="227">
        <v>311.5</v>
      </c>
      <c r="BD322" s="226">
        <f>IF($BC$11&gt;0,(BC322/$BC$11)*'DADOS BASE'!W$39,0)</f>
        <v>1683098.0498981075</v>
      </c>
      <c r="BE322" s="187"/>
    </row>
    <row r="323" spans="2:57" x14ac:dyDescent="0.3">
      <c r="B323" s="184" t="s">
        <v>382</v>
      </c>
      <c r="C323" s="184" t="s">
        <v>442</v>
      </c>
      <c r="D323" s="184" t="s">
        <v>92</v>
      </c>
      <c r="E323" s="184">
        <v>2009</v>
      </c>
      <c r="F323" s="185"/>
      <c r="H323" s="186">
        <f ca="1">IF(AND(E323&gt;=2018,SUMIF('DADOS BASE'!$C$101:$D$104,D323,'DADOS BASE'!$H$101:$H$104)&gt;J323),
SUMIF('DADOS BASE'!$C$101:$D$104,D323,'DADOS BASE'!$H$101:$H$104),
J323)</f>
        <v>11668744.149974171</v>
      </c>
      <c r="J323" s="186">
        <f t="shared" si="211"/>
        <v>11668744.149974171</v>
      </c>
      <c r="K323" s="186"/>
      <c r="L323" s="188">
        <v>6709.8439236902004</v>
      </c>
      <c r="M323" s="186">
        <f t="shared" si="212"/>
        <v>5.2347092696322104E-3</v>
      </c>
      <c r="N323" s="186">
        <f>L323*'DADOS BASE'!$I$29</f>
        <v>6607425.7433501258</v>
      </c>
      <c r="O323" s="187"/>
      <c r="P323" s="188">
        <v>29.509173525377001</v>
      </c>
      <c r="Q323" s="186">
        <f>P323*'DADOS BASE'!$I$33</f>
        <v>7264.6873397514655</v>
      </c>
      <c r="R323" s="186"/>
      <c r="S323" s="188">
        <v>6415.4923860614999</v>
      </c>
      <c r="T323" s="186">
        <f>S323*'DADOS BASE'!$I$37</f>
        <v>5054053.7192842951</v>
      </c>
      <c r="U323" s="186"/>
      <c r="V323" s="186">
        <f t="shared" si="213"/>
        <v>5061318.4066240462</v>
      </c>
      <c r="W323" s="187"/>
      <c r="X323" s="186"/>
      <c r="Y323" s="186"/>
      <c r="Z323" s="185"/>
      <c r="AA323" s="186"/>
      <c r="AB323" s="186"/>
      <c r="AC323" s="186"/>
      <c r="AD323" s="186"/>
      <c r="AE323" s="188">
        <v>3114</v>
      </c>
      <c r="AF323" s="188">
        <v>2434.6761101205002</v>
      </c>
      <c r="AG323" s="186" t="s">
        <v>155</v>
      </c>
      <c r="AH323" s="189">
        <v>0.74</v>
      </c>
      <c r="AI323" s="183">
        <f t="shared" si="214"/>
        <v>1801.6603214891702</v>
      </c>
      <c r="AJ323" s="186">
        <f t="shared" si="215"/>
        <v>2.3837645695862181E-2</v>
      </c>
      <c r="AK323" s="186"/>
      <c r="AL323" s="186">
        <f t="shared" si="216"/>
        <v>175.39331251941678</v>
      </c>
      <c r="AM323" s="187">
        <f t="shared" si="217"/>
        <v>427025.9078659229</v>
      </c>
      <c r="AN323" s="186"/>
      <c r="AO323" s="188">
        <v>1.4009568694659</v>
      </c>
      <c r="AQ323" s="186">
        <f t="shared" si="218"/>
        <v>3410.8762213978307</v>
      </c>
      <c r="AR323" s="186">
        <f t="shared" si="219"/>
        <v>3.6291369675454659E-3</v>
      </c>
      <c r="AS323" s="187">
        <f>AR323*'DADOS BASE'!W$38</f>
        <v>1088649.5187820191</v>
      </c>
      <c r="AU323" s="188">
        <v>2808.0829276182999</v>
      </c>
      <c r="AV323" s="188">
        <v>1558.75</v>
      </c>
      <c r="AW323" s="186">
        <f t="shared" si="220"/>
        <v>702.02073190457497</v>
      </c>
      <c r="AX323" s="186">
        <f>IF($AW$11&gt;0,(AW323/$AW$11)*'DADOS BASE'!W$40,0)</f>
        <v>126136.53977039759</v>
      </c>
      <c r="AY323" s="186">
        <f t="shared" si="221"/>
        <v>983.50076686919328</v>
      </c>
      <c r="AZ323" s="186">
        <f t="shared" si="222"/>
        <v>5.1437400379908557E-2</v>
      </c>
      <c r="BA323" s="186">
        <f>AZ323*'DADOS BASE'!W$41</f>
        <v>380011.99231727637</v>
      </c>
      <c r="BC323" s="188">
        <v>374.5</v>
      </c>
      <c r="BD323" s="186">
        <f>IF($BC$11&gt;0,(BC323/$BC$11)*'DADOS BASE'!W$39,0)</f>
        <v>2023499.9026864888</v>
      </c>
      <c r="BE323" s="187"/>
    </row>
    <row r="324" spans="2:57" x14ac:dyDescent="0.3">
      <c r="B324" s="223" t="s">
        <v>382</v>
      </c>
      <c r="C324" s="223" t="s">
        <v>443</v>
      </c>
      <c r="D324" s="223" t="s">
        <v>94</v>
      </c>
      <c r="E324" s="223">
        <v>2013</v>
      </c>
      <c r="F324" s="224"/>
      <c r="G324" s="225"/>
      <c r="H324" s="226">
        <f ca="1">IF(AND(E324&gt;=2018,SUMIF('DADOS BASE'!$C$101:$D$104,D324,'DADOS BASE'!$H$101:$H$104)&gt;J324),
SUMIF('DADOS BASE'!$C$101:$D$104,D324,'DADOS BASE'!$H$101:$H$104),
J324)</f>
        <v>2032678.9500742462</v>
      </c>
      <c r="I324" s="225"/>
      <c r="J324" s="226">
        <f t="shared" si="211"/>
        <v>2032678.9500742462</v>
      </c>
      <c r="K324" s="226"/>
      <c r="L324" s="227">
        <v>1727.8293066248</v>
      </c>
      <c r="M324" s="226">
        <f t="shared" si="212"/>
        <v>1.34797235086159E-3</v>
      </c>
      <c r="N324" s="226">
        <f>L324*'DADOS BASE'!$I$29</f>
        <v>1701455.9460019136</v>
      </c>
      <c r="O324" s="228"/>
      <c r="P324" s="227">
        <v>0</v>
      </c>
      <c r="Q324" s="226">
        <f>P324*'DADOS BASE'!$I$33</f>
        <v>0</v>
      </c>
      <c r="R324" s="226"/>
      <c r="S324" s="227">
        <v>420.44639387319</v>
      </c>
      <c r="T324" s="226">
        <f>S324*'DADOS BASE'!$I$37</f>
        <v>331223.00407233241</v>
      </c>
      <c r="U324" s="226"/>
      <c r="V324" s="226">
        <f t="shared" si="213"/>
        <v>331223.00407233241</v>
      </c>
      <c r="W324" s="228"/>
      <c r="X324" s="226"/>
      <c r="Y324" s="226"/>
      <c r="Z324" s="224"/>
      <c r="AA324" s="226"/>
      <c r="AB324" s="226"/>
      <c r="AC324" s="226"/>
      <c r="AD324" s="226"/>
      <c r="AE324" s="227">
        <v>1308</v>
      </c>
      <c r="AF324" s="227">
        <v>948.90723813416002</v>
      </c>
      <c r="AG324" s="226" t="s">
        <v>155</v>
      </c>
      <c r="AH324" s="229">
        <v>0.75600000000000001</v>
      </c>
      <c r="AI324" s="225">
        <f t="shared" si="214"/>
        <v>717.373872029425</v>
      </c>
      <c r="AJ324" s="226">
        <f t="shared" si="215"/>
        <v>4.5418350705139006E-2</v>
      </c>
      <c r="AK324" s="226"/>
      <c r="AL324" s="226">
        <f t="shared" si="216"/>
        <v>171.51576968917757</v>
      </c>
      <c r="AM324" s="228">
        <f t="shared" si="217"/>
        <v>162752.55531221218</v>
      </c>
      <c r="AN324" s="226"/>
      <c r="AO324" s="227">
        <v>1.376445526476</v>
      </c>
      <c r="AP324" s="225"/>
      <c r="AQ324" s="226">
        <f t="shared" si="218"/>
        <v>1306.1191229704611</v>
      </c>
      <c r="AR324" s="226">
        <f t="shared" si="219"/>
        <v>1.3896972172293023E-3</v>
      </c>
      <c r="AS324" s="228">
        <f>AR324*'DADOS BASE'!W$38</f>
        <v>416874.09990828286</v>
      </c>
      <c r="AT324" s="225"/>
      <c r="AU324" s="227">
        <v>336.92066025013003</v>
      </c>
      <c r="AV324" s="227">
        <v>324</v>
      </c>
      <c r="AW324" s="226">
        <f t="shared" si="220"/>
        <v>84.230165062532507</v>
      </c>
      <c r="AX324" s="226">
        <f>IF($AW$11&gt;0,(AW324/$AW$11)*'DADOS BASE'!W$40,0)</f>
        <v>15134.170662528901</v>
      </c>
      <c r="AY324" s="226">
        <f t="shared" si="221"/>
        <v>115.93823389465794</v>
      </c>
      <c r="AZ324" s="226">
        <f t="shared" si="222"/>
        <v>6.0636062086285754E-3</v>
      </c>
      <c r="BA324" s="226">
        <f>AZ324*'DADOS BASE'!W$41</f>
        <v>44797.035988397045</v>
      </c>
      <c r="BB324" s="225"/>
      <c r="BC324" s="227">
        <v>0</v>
      </c>
      <c r="BD324" s="226">
        <f>IF($BC$11&gt;0,(BC324/$BC$11)*'DADOS BASE'!W$39,0)</f>
        <v>0</v>
      </c>
      <c r="BE324" s="187"/>
    </row>
    <row r="325" spans="2:57" x14ac:dyDescent="0.3">
      <c r="B325" s="184" t="s">
        <v>382</v>
      </c>
      <c r="C325" s="184" t="s">
        <v>444</v>
      </c>
      <c r="D325" s="184" t="s">
        <v>94</v>
      </c>
      <c r="E325" s="184">
        <v>2013</v>
      </c>
      <c r="F325" s="185"/>
      <c r="H325" s="186">
        <f ca="1">IF(AND(E325&gt;=2018,SUMIF('DADOS BASE'!$C$101:$D$104,D325,'DADOS BASE'!$H$101:$H$104)&gt;J325),
SUMIF('DADOS BASE'!$C$101:$D$104,D325,'DADOS BASE'!$H$101:$H$104),
J325)</f>
        <v>2287378.2087034956</v>
      </c>
      <c r="J325" s="186">
        <f t="shared" si="211"/>
        <v>2287378.2087034956</v>
      </c>
      <c r="K325" s="186"/>
      <c r="L325" s="188">
        <v>2069.1359633132001</v>
      </c>
      <c r="M325" s="186">
        <f t="shared" si="212"/>
        <v>1.6142439869641703E-3</v>
      </c>
      <c r="N325" s="186">
        <f>L325*'DADOS BASE'!$I$29</f>
        <v>2037552.9425084186</v>
      </c>
      <c r="O325" s="187"/>
      <c r="P325" s="188">
        <v>0</v>
      </c>
      <c r="Q325" s="186">
        <f>P325*'DADOS BASE'!$I$33</f>
        <v>0</v>
      </c>
      <c r="R325" s="186"/>
      <c r="S325" s="188">
        <v>317.1220929063</v>
      </c>
      <c r="T325" s="186">
        <f>S325*'DADOS BASE'!$I$37</f>
        <v>249825.26619507722</v>
      </c>
      <c r="U325" s="186"/>
      <c r="V325" s="186">
        <f t="shared" si="213"/>
        <v>249825.26619507722</v>
      </c>
      <c r="W325" s="187"/>
      <c r="X325" s="186"/>
      <c r="Y325" s="186"/>
      <c r="Z325" s="185"/>
      <c r="AA325" s="186"/>
      <c r="AB325" s="186"/>
      <c r="AC325" s="186"/>
      <c r="AD325" s="186"/>
      <c r="AE325" s="188">
        <v>1456</v>
      </c>
      <c r="AF325" s="188">
        <v>1030.0137908022</v>
      </c>
      <c r="AG325" s="186" t="s">
        <v>155</v>
      </c>
      <c r="AH325" s="189">
        <v>0.77900000000000003</v>
      </c>
      <c r="AI325" s="183">
        <f t="shared" si="214"/>
        <v>802.38074303491385</v>
      </c>
      <c r="AJ325" s="186">
        <f t="shared" si="215"/>
        <v>7.6440614155974432E-2</v>
      </c>
      <c r="AK325" s="186"/>
      <c r="AL325" s="186">
        <f t="shared" si="216"/>
        <v>165.94180187070873</v>
      </c>
      <c r="AM325" s="187">
        <f t="shared" si="217"/>
        <v>170922.34439739631</v>
      </c>
      <c r="AN325" s="186"/>
      <c r="AO325" s="188">
        <v>1.2623847926267</v>
      </c>
      <c r="AQ325" s="186">
        <f t="shared" si="218"/>
        <v>1300.2737457044764</v>
      </c>
      <c r="AR325" s="186">
        <f t="shared" si="219"/>
        <v>1.383477796368424E-3</v>
      </c>
      <c r="AS325" s="187">
        <f>AR325*'DADOS BASE'!W$38</f>
        <v>415008.43058032764</v>
      </c>
      <c r="AU325" s="188">
        <v>292.78931227671001</v>
      </c>
      <c r="AV325" s="188">
        <v>231</v>
      </c>
      <c r="AW325" s="186">
        <f t="shared" si="220"/>
        <v>73.197328069177502</v>
      </c>
      <c r="AX325" s="186">
        <f>IF($AW$11&gt;0,(AW325/$AW$11)*'DADOS BASE'!W$40,0)</f>
        <v>13151.830513660188</v>
      </c>
      <c r="AY325" s="186">
        <f t="shared" si="221"/>
        <v>92.403193815437163</v>
      </c>
      <c r="AZ325" s="186">
        <f t="shared" si="222"/>
        <v>4.8327161877028645E-3</v>
      </c>
      <c r="BA325" s="186">
        <f>AZ325*'DADOS BASE'!W$41</f>
        <v>35703.400506808095</v>
      </c>
      <c r="BC325" s="188">
        <v>0</v>
      </c>
      <c r="BD325" s="186">
        <f>IF($BC$11&gt;0,(BC325/$BC$11)*'DADOS BASE'!W$39,0)</f>
        <v>0</v>
      </c>
      <c r="BE325" s="187"/>
    </row>
    <row r="326" spans="2:57" x14ac:dyDescent="0.3">
      <c r="B326" s="223" t="s">
        <v>382</v>
      </c>
      <c r="C326" s="223" t="s">
        <v>445</v>
      </c>
      <c r="D326" s="223" t="s">
        <v>94</v>
      </c>
      <c r="E326" s="223">
        <v>2013</v>
      </c>
      <c r="F326" s="224"/>
      <c r="G326" s="225"/>
      <c r="H326" s="226">
        <f ca="1">IF(AND(E326&gt;=2018,SUMIF('DADOS BASE'!$C$101:$D$104,D326,'DADOS BASE'!$H$101:$H$104)&gt;J326),
SUMIF('DADOS BASE'!$C$101:$D$104,D326,'DADOS BASE'!$H$101:$H$104),
J326)</f>
        <v>3619338.5482815481</v>
      </c>
      <c r="I326" s="225"/>
      <c r="J326" s="226">
        <f t="shared" si="211"/>
        <v>3619338.5482815481</v>
      </c>
      <c r="K326" s="226"/>
      <c r="L326" s="227">
        <v>2280.5739828380001</v>
      </c>
      <c r="M326" s="226">
        <f t="shared" si="212"/>
        <v>1.7791981309571998E-3</v>
      </c>
      <c r="N326" s="226">
        <f>L326*'DADOS BASE'!$I$29</f>
        <v>2245763.5997486827</v>
      </c>
      <c r="O326" s="228"/>
      <c r="P326" s="227">
        <v>0</v>
      </c>
      <c r="Q326" s="226">
        <f>P326*'DADOS BASE'!$I$33</f>
        <v>0</v>
      </c>
      <c r="R326" s="226"/>
      <c r="S326" s="227">
        <v>1743.582500988</v>
      </c>
      <c r="T326" s="226">
        <f>S326*'DADOS BASE'!$I$37</f>
        <v>1373574.9485328654</v>
      </c>
      <c r="U326" s="226"/>
      <c r="V326" s="226">
        <f t="shared" si="213"/>
        <v>1373574.9485328654</v>
      </c>
      <c r="W326" s="228"/>
      <c r="X326" s="226"/>
      <c r="Y326" s="226"/>
      <c r="Z326" s="224"/>
      <c r="AA326" s="226"/>
      <c r="AB326" s="226"/>
      <c r="AC326" s="226"/>
      <c r="AD326" s="226"/>
      <c r="AE326" s="227">
        <v>1288</v>
      </c>
      <c r="AF326" s="227">
        <v>1042.3550388491999</v>
      </c>
      <c r="AG326" s="226" t="s">
        <v>155</v>
      </c>
      <c r="AH326" s="229">
        <v>0.77400000000000002</v>
      </c>
      <c r="AI326" s="225">
        <f t="shared" si="214"/>
        <v>806.78280006928071</v>
      </c>
      <c r="AJ326" s="226">
        <f t="shared" si="215"/>
        <v>6.9696643840575431E-2</v>
      </c>
      <c r="AK326" s="226"/>
      <c r="AL326" s="226">
        <f t="shared" si="216"/>
        <v>167.15353400515849</v>
      </c>
      <c r="AM326" s="228">
        <f t="shared" si="217"/>
        <v>174233.32843172803</v>
      </c>
      <c r="AN326" s="226"/>
      <c r="AO326" s="227">
        <v>1.4670535380006999</v>
      </c>
      <c r="AP326" s="225"/>
      <c r="AQ326" s="226">
        <f t="shared" si="218"/>
        <v>1529.1906475965757</v>
      </c>
      <c r="AR326" s="226">
        <f t="shared" si="219"/>
        <v>1.6270430087149844E-3</v>
      </c>
      <c r="AS326" s="228">
        <f>AR326*'DADOS BASE'!W$38</f>
        <v>488071.84857318999</v>
      </c>
      <c r="AT326" s="225"/>
      <c r="AU326" s="227">
        <v>1375.938959929</v>
      </c>
      <c r="AV326" s="227">
        <v>621.5</v>
      </c>
      <c r="AW326" s="226">
        <f t="shared" si="220"/>
        <v>343.98473998225001</v>
      </c>
      <c r="AX326" s="226">
        <f>IF($AW$11&gt;0,(AW326/$AW$11)*'DADOS BASE'!W$40,0)</f>
        <v>61805.930883931193</v>
      </c>
      <c r="AY326" s="226">
        <f t="shared" si="221"/>
        <v>504.64402980921068</v>
      </c>
      <c r="AZ326" s="226">
        <f t="shared" si="222"/>
        <v>2.6393041963005674E-2</v>
      </c>
      <c r="BA326" s="226">
        <f>AZ326*'DADOS BASE'!W$41</f>
        <v>194987.93456896499</v>
      </c>
      <c r="BB326" s="225"/>
      <c r="BC326" s="227">
        <v>0</v>
      </c>
      <c r="BD326" s="226">
        <f>IF($BC$11&gt;0,(BC326/$BC$11)*'DADOS BASE'!W$39,0)</f>
        <v>0</v>
      </c>
      <c r="BE326" s="187"/>
    </row>
    <row r="327" spans="2:57" x14ac:dyDescent="0.3">
      <c r="B327" s="184" t="s">
        <v>382</v>
      </c>
      <c r="C327" s="184" t="s">
        <v>446</v>
      </c>
      <c r="D327" s="184" t="s">
        <v>209</v>
      </c>
      <c r="E327" s="184">
        <v>2015</v>
      </c>
      <c r="F327" s="185"/>
      <c r="H327" s="186">
        <f ca="1">IF(AND(E327&gt;=2018,SUMIF('DADOS BASE'!$C$101:$D$104,D327,'DADOS BASE'!$H$101:$H$104)&gt;J327),
SUMIF('DADOS BASE'!$C$101:$D$104,D327,'DADOS BASE'!$H$101:$H$104),
J327)</f>
        <v>0</v>
      </c>
      <c r="J327" s="186">
        <f t="shared" si="211"/>
        <v>0</v>
      </c>
      <c r="K327" s="186"/>
      <c r="L327" s="188">
        <v>0</v>
      </c>
      <c r="M327" s="186">
        <f t="shared" si="212"/>
        <v>0</v>
      </c>
      <c r="N327" s="186">
        <f>L327*'DADOS BASE'!$I$29</f>
        <v>0</v>
      </c>
      <c r="O327" s="187"/>
      <c r="P327" s="188">
        <v>0</v>
      </c>
      <c r="Q327" s="186">
        <f>P327*'DADOS BASE'!$I$33</f>
        <v>0</v>
      </c>
      <c r="R327" s="186"/>
      <c r="S327" s="188">
        <v>0</v>
      </c>
      <c r="T327" s="186">
        <f>S327*'DADOS BASE'!$I$37</f>
        <v>0</v>
      </c>
      <c r="U327" s="186"/>
      <c r="V327" s="186">
        <f t="shared" si="213"/>
        <v>0</v>
      </c>
      <c r="W327" s="187"/>
      <c r="X327" s="186"/>
      <c r="Y327" s="186"/>
      <c r="Z327" s="185"/>
      <c r="AA327" s="186"/>
      <c r="AB327" s="186"/>
      <c r="AC327" s="186"/>
      <c r="AD327" s="186"/>
      <c r="AE327" s="188">
        <v>0</v>
      </c>
      <c r="AF327" s="188">
        <v>0</v>
      </c>
      <c r="AG327" s="186" t="s">
        <v>155</v>
      </c>
      <c r="AH327" s="189">
        <v>0.73899999999999999</v>
      </c>
      <c r="AI327" s="183">
        <f t="shared" si="214"/>
        <v>0</v>
      </c>
      <c r="AJ327" s="186">
        <f t="shared" si="215"/>
        <v>2.2488851632782383E-2</v>
      </c>
      <c r="AK327" s="186"/>
      <c r="AL327" s="186">
        <f t="shared" si="216"/>
        <v>175.63565894630673</v>
      </c>
      <c r="AM327" s="187">
        <f t="shared" si="217"/>
        <v>0</v>
      </c>
      <c r="AN327" s="186"/>
      <c r="AO327" s="188">
        <v>0</v>
      </c>
      <c r="AQ327" s="186">
        <f t="shared" si="218"/>
        <v>0</v>
      </c>
      <c r="AR327" s="186">
        <f t="shared" si="219"/>
        <v>0</v>
      </c>
      <c r="AS327" s="187">
        <f>AR327*'DADOS BASE'!W$38</f>
        <v>0</v>
      </c>
      <c r="AU327" s="188">
        <v>0</v>
      </c>
      <c r="AV327" s="188">
        <v>0</v>
      </c>
      <c r="AW327" s="186">
        <f t="shared" si="220"/>
        <v>0</v>
      </c>
      <c r="AX327" s="186">
        <f>IF($AW$11&gt;0,(AW327/$AW$11)*'DADOS BASE'!W$40,0)</f>
        <v>0</v>
      </c>
      <c r="AY327" s="186">
        <f t="shared" si="221"/>
        <v>0</v>
      </c>
      <c r="AZ327" s="186">
        <f t="shared" si="222"/>
        <v>0</v>
      </c>
      <c r="BA327" s="186">
        <f>AZ327*'DADOS BASE'!W$41</f>
        <v>0</v>
      </c>
      <c r="BC327" s="188">
        <v>0</v>
      </c>
      <c r="BD327" s="186">
        <f>IF($BC$11&gt;0,(BC327/$BC$11)*'DADOS BASE'!W$39,0)</f>
        <v>0</v>
      </c>
      <c r="BE327" s="187"/>
    </row>
    <row r="328" spans="2:57" x14ac:dyDescent="0.3">
      <c r="F328" s="185"/>
      <c r="H328" s="186"/>
      <c r="J328" s="186"/>
      <c r="K328" s="186"/>
      <c r="L328" s="186"/>
      <c r="M328" s="186"/>
      <c r="N328" s="186"/>
      <c r="O328" s="187"/>
      <c r="P328" s="186"/>
      <c r="Q328" s="186"/>
      <c r="R328" s="186"/>
      <c r="S328" s="186"/>
      <c r="T328" s="186"/>
      <c r="U328" s="186"/>
      <c r="V328" s="186"/>
      <c r="W328" s="187"/>
      <c r="X328" s="186"/>
      <c r="Y328" s="186"/>
      <c r="Z328" s="185"/>
      <c r="AA328" s="186"/>
      <c r="AB328" s="186"/>
      <c r="AC328" s="186"/>
      <c r="AD328" s="186"/>
      <c r="AE328" s="186"/>
      <c r="AF328" s="186"/>
      <c r="AG328" s="186"/>
      <c r="AH328" s="185"/>
      <c r="AJ328" s="186"/>
      <c r="AK328" s="186"/>
      <c r="AL328" s="186"/>
      <c r="AM328" s="187"/>
      <c r="AN328" s="186"/>
      <c r="AO328" s="186"/>
      <c r="AQ328" s="186"/>
      <c r="AR328" s="186"/>
      <c r="AS328" s="187"/>
      <c r="AU328" s="186"/>
      <c r="AV328" s="186"/>
      <c r="AW328" s="186"/>
      <c r="AX328" s="186"/>
      <c r="AY328" s="186"/>
      <c r="AZ328" s="186"/>
      <c r="BA328" s="186"/>
      <c r="BC328" s="186"/>
      <c r="BD328" s="186"/>
      <c r="BE328" s="187"/>
    </row>
    <row r="329" spans="2:57" x14ac:dyDescent="0.3">
      <c r="B329" s="209" t="s">
        <v>382</v>
      </c>
      <c r="C329" s="209" t="s">
        <v>447</v>
      </c>
      <c r="D329" s="211" t="s">
        <v>154</v>
      </c>
      <c r="E329" s="211"/>
      <c r="F329" s="210"/>
      <c r="G329" s="211"/>
      <c r="H329" s="212">
        <f ca="1">SUM(H330:H339)</f>
        <v>18814718.255253557</v>
      </c>
      <c r="I329" s="211"/>
      <c r="J329" s="212">
        <f>SUM(J330:J339)</f>
        <v>18814718.255253557</v>
      </c>
      <c r="K329" s="212"/>
      <c r="L329" s="212">
        <f>SUM(L330:L339)</f>
        <v>18853.576379173821</v>
      </c>
      <c r="M329" s="212">
        <f>SUM(M330:M339)</f>
        <v>1.4708686544753796E-2</v>
      </c>
      <c r="N329" s="212">
        <f>SUM(N330:N339)</f>
        <v>18565797.854424521</v>
      </c>
      <c r="O329" s="214"/>
      <c r="P329" s="212">
        <f>SUM(P330:P339)</f>
        <v>321.29537725061999</v>
      </c>
      <c r="Q329" s="212">
        <f>SUM(Q330:Q339)</f>
        <v>79097.791655397785</v>
      </c>
      <c r="R329" s="212"/>
      <c r="S329" s="212">
        <f>SUM(S330:S339)</f>
        <v>215.56867351399001</v>
      </c>
      <c r="T329" s="212">
        <f>SUM(T330:T339)</f>
        <v>169822.60917363656</v>
      </c>
      <c r="U329" s="212"/>
      <c r="V329" s="212">
        <f>SUM(V330:V339)</f>
        <v>248920.40082903433</v>
      </c>
      <c r="W329" s="214"/>
      <c r="X329" s="212">
        <f>SUMIF(INDICADORES!$D$13:$D$53,C329,INDICADORES!$L$13:$L$53)</f>
        <v>2.6103272566729827E-2</v>
      </c>
      <c r="Y329" s="212">
        <f>X329*'DADOS BASE'!$I$79</f>
        <v>1083891.8390082412</v>
      </c>
      <c r="Z329" s="210">
        <f>SUMIF(INDICADORES!$D$13:$D$53,C329,INDICADORES!$R$13:$R$53)</f>
        <v>1.1439050948478422E-2</v>
      </c>
      <c r="AA329" s="212">
        <f>Z329*'DADOS BASE'!$I$84</f>
        <v>474986.18946568854</v>
      </c>
      <c r="AB329" s="212">
        <f>SUMIF(INDICADORES!$D$13:$D$53,C329,INDICADORES!$Z$13:$Z$53)</f>
        <v>1.7961574005630025E-2</v>
      </c>
      <c r="AC329" s="212">
        <f>AB329*'DADOS BASE'!$I$89</f>
        <v>1491644.6534185593</v>
      </c>
      <c r="AD329" s="212"/>
      <c r="AE329" s="212">
        <f>SUM(AE330:AE339)</f>
        <v>11005</v>
      </c>
      <c r="AF329" s="212">
        <f>SUM(AF330:AF339)</f>
        <v>8414.4523854135605</v>
      </c>
      <c r="AG329" s="212" t="s">
        <v>155</v>
      </c>
      <c r="AH329" s="210"/>
      <c r="AI329" s="211"/>
      <c r="AJ329" s="212"/>
      <c r="AK329" s="212"/>
      <c r="AL329" s="212"/>
      <c r="AM329" s="214">
        <f>SUM(AM330:AM339)</f>
        <v>1431400.0581332329</v>
      </c>
      <c r="AN329" s="212"/>
      <c r="AO329" s="212"/>
      <c r="AP329" s="211"/>
      <c r="AQ329" s="212">
        <f>SUM(AQ330:AQ339)</f>
        <v>8615.5455497077728</v>
      </c>
      <c r="AR329" s="212"/>
      <c r="AS329" s="214">
        <f>SUM(AS330:AS339)</f>
        <v>2749824.0651166593</v>
      </c>
      <c r="AT329" s="211"/>
      <c r="AU329" s="212">
        <f t="shared" ref="AU329:BA329" si="223">SUM(AU330:AU339)</f>
        <v>91.747049825174997</v>
      </c>
      <c r="AV329" s="212">
        <f t="shared" si="223"/>
        <v>179.25</v>
      </c>
      <c r="AW329" s="212">
        <f t="shared" si="223"/>
        <v>22.936762456293749</v>
      </c>
      <c r="AX329" s="212">
        <f t="shared" si="223"/>
        <v>4121.194315619904</v>
      </c>
      <c r="AY329" s="212">
        <f t="shared" si="223"/>
        <v>17.76707861189189</v>
      </c>
      <c r="AZ329" s="212">
        <f t="shared" si="223"/>
        <v>9.292238165206655E-4</v>
      </c>
      <c r="BA329" s="212">
        <f t="shared" si="223"/>
        <v>6864.9696760843399</v>
      </c>
      <c r="BB329" s="211"/>
      <c r="BC329" s="212">
        <f>SUM(BC330:BC339)</f>
        <v>43</v>
      </c>
      <c r="BD329" s="212">
        <f>SUM(BD330:BD339)</f>
        <v>232337.77253810153</v>
      </c>
      <c r="BE329" s="187"/>
    </row>
    <row r="330" spans="2:57" x14ac:dyDescent="0.3">
      <c r="B330" s="216" t="s">
        <v>382</v>
      </c>
      <c r="C330" s="218" t="s">
        <v>156</v>
      </c>
      <c r="D330" s="218" t="s">
        <v>157</v>
      </c>
      <c r="E330" s="218"/>
      <c r="F330" s="217"/>
      <c r="G330" s="218"/>
      <c r="H330" s="219"/>
      <c r="I330" s="218"/>
      <c r="J330" s="219"/>
      <c r="K330" s="219"/>
      <c r="L330" s="219">
        <v>0</v>
      </c>
      <c r="M330" s="219">
        <v>0</v>
      </c>
      <c r="N330" s="219">
        <v>0</v>
      </c>
      <c r="O330" s="221"/>
      <c r="P330" s="219"/>
      <c r="Q330" s="219"/>
      <c r="R330" s="219"/>
      <c r="S330" s="219"/>
      <c r="T330" s="219"/>
      <c r="U330" s="219"/>
      <c r="V330" s="219"/>
      <c r="W330" s="221"/>
      <c r="X330" s="219"/>
      <c r="Y330" s="219"/>
      <c r="Z330" s="217"/>
      <c r="AA330" s="219"/>
      <c r="AB330" s="219"/>
      <c r="AC330" s="219"/>
      <c r="AD330" s="219"/>
      <c r="AE330" s="219"/>
      <c r="AF330" s="219"/>
      <c r="AG330" s="219" t="s">
        <v>155</v>
      </c>
      <c r="AH330" s="217"/>
      <c r="AI330" s="218"/>
      <c r="AJ330" s="219"/>
      <c r="AK330" s="219"/>
      <c r="AL330" s="219"/>
      <c r="AM330" s="221"/>
      <c r="AN330" s="219"/>
      <c r="AO330" s="219"/>
      <c r="AP330" s="218"/>
      <c r="AQ330" s="219"/>
      <c r="AR330" s="219"/>
      <c r="AS330" s="221"/>
      <c r="AT330" s="218"/>
      <c r="AU330" s="219"/>
      <c r="AV330" s="219"/>
      <c r="AW330" s="219"/>
      <c r="AX330" s="219"/>
      <c r="AY330" s="219"/>
      <c r="AZ330" s="219"/>
      <c r="BA330" s="219"/>
      <c r="BB330" s="218"/>
      <c r="BC330" s="219"/>
      <c r="BD330" s="219"/>
      <c r="BE330" s="187"/>
    </row>
    <row r="331" spans="2:57" x14ac:dyDescent="0.3">
      <c r="B331" s="184" t="s">
        <v>382</v>
      </c>
      <c r="C331" s="184" t="s">
        <v>448</v>
      </c>
      <c r="D331" s="184" t="s">
        <v>92</v>
      </c>
      <c r="E331" s="184">
        <v>2014</v>
      </c>
      <c r="F331" s="185"/>
      <c r="H331" s="186">
        <f ca="1">IF(AND(E331&gt;=2018,SUMIF('DADOS BASE'!$C$101:$D$104,D331,'DADOS BASE'!$H$101:$H$104)&gt;J331),
SUMIF('DADOS BASE'!$C$101:$D$104,D331,'DADOS BASE'!$H$101:$H$104),
J331)</f>
        <v>243464.07447914314</v>
      </c>
      <c r="J331" s="186">
        <f t="shared" ref="J331:J339" si="224">N331+Q331+T331</f>
        <v>243464.07447914314</v>
      </c>
      <c r="K331" s="186"/>
      <c r="L331" s="188">
        <v>247.23788117102001</v>
      </c>
      <c r="M331" s="186">
        <f t="shared" ref="M331:M339" si="225">L331/$L$11</f>
        <v>1.9288353694796323E-4</v>
      </c>
      <c r="N331" s="186">
        <f>L331*'DADOS BASE'!$I$29</f>
        <v>243464.07447914314</v>
      </c>
      <c r="O331" s="187"/>
      <c r="P331" s="188">
        <v>0</v>
      </c>
      <c r="Q331" s="186">
        <f>P331*'DADOS BASE'!$I$33</f>
        <v>0</v>
      </c>
      <c r="R331" s="186"/>
      <c r="S331" s="188">
        <v>0</v>
      </c>
      <c r="T331" s="186">
        <f>S331*'DADOS BASE'!$I$37</f>
        <v>0</v>
      </c>
      <c r="U331" s="186"/>
      <c r="V331" s="186">
        <f t="shared" ref="V331:V339" si="226">T331+Q331</f>
        <v>0</v>
      </c>
      <c r="W331" s="187"/>
      <c r="X331" s="186"/>
      <c r="Y331" s="186"/>
      <c r="Z331" s="185"/>
      <c r="AA331" s="186"/>
      <c r="AB331" s="186"/>
      <c r="AC331" s="186"/>
      <c r="AD331" s="186"/>
      <c r="AE331" s="188">
        <v>182</v>
      </c>
      <c r="AF331" s="188">
        <v>95.742734838979999</v>
      </c>
      <c r="AG331" s="186" t="s">
        <v>155</v>
      </c>
      <c r="AH331" s="189">
        <v>0.70399999999999996</v>
      </c>
      <c r="AI331" s="183">
        <f t="shared" ref="AI331:AI339" si="227">AF331*AH331</f>
        <v>67.402885326641922</v>
      </c>
      <c r="AJ331" s="186">
        <f t="shared" ref="AJ331:AJ339" si="228">(AH331-$AI$12)*$AJ$12</f>
        <v>-2.4718940575010666E-2</v>
      </c>
      <c r="AK331" s="186"/>
      <c r="AL331" s="186">
        <f t="shared" ref="AL331:AL339" si="229">$AL$11-(AJ331*$AL$11)</f>
        <v>184.117783887455</v>
      </c>
      <c r="AM331" s="187">
        <f t="shared" ref="AM331:AM339" si="230">AF331*AL331</f>
        <v>17627.940161877228</v>
      </c>
      <c r="AN331" s="186"/>
      <c r="AO331" s="188">
        <v>1.6785714285714</v>
      </c>
      <c r="AQ331" s="186">
        <f t="shared" ref="AQ331:AQ339" si="231">AF331*AO331</f>
        <v>160.71101919399939</v>
      </c>
      <c r="AR331" s="186">
        <f t="shared" ref="AR331:AR339" si="232">AQ331/$AQ$11</f>
        <v>1.7099485967562617E-4</v>
      </c>
      <c r="AS331" s="187">
        <f>AR331*'DADOS BASE'!W$38</f>
        <v>51294.143308670042</v>
      </c>
      <c r="AU331" s="188">
        <v>0</v>
      </c>
      <c r="AV331" s="188">
        <v>0</v>
      </c>
      <c r="AW331" s="186">
        <f t="shared" ref="AW331:AW339" si="233">AU331/4</f>
        <v>0</v>
      </c>
      <c r="AX331" s="186">
        <f>IF($AW$11&gt;0,(AW331/$AW$11)*'DADOS BASE'!W$40,0)</f>
        <v>0</v>
      </c>
      <c r="AY331" s="186">
        <f t="shared" ref="AY331:AY339" si="234">AO331*AW331</f>
        <v>0</v>
      </c>
      <c r="AZ331" s="186">
        <f t="shared" ref="AZ331:AZ339" si="235">IF($AY$11&gt;0,AY331/$AY$11,0)</f>
        <v>0</v>
      </c>
      <c r="BA331" s="186">
        <f>AZ331*'DADOS BASE'!W$41</f>
        <v>0</v>
      </c>
      <c r="BC331" s="188">
        <v>0</v>
      </c>
      <c r="BD331" s="186">
        <f>IF($BC$11&gt;0,(BC331/$BC$11)*'DADOS BASE'!W$39,0)</f>
        <v>0</v>
      </c>
      <c r="BE331" s="187"/>
    </row>
    <row r="332" spans="2:57" x14ac:dyDescent="0.3">
      <c r="B332" s="223" t="s">
        <v>382</v>
      </c>
      <c r="C332" s="223" t="s">
        <v>449</v>
      </c>
      <c r="D332" s="223" t="s">
        <v>98</v>
      </c>
      <c r="E332" s="223">
        <v>2015</v>
      </c>
      <c r="F332" s="224"/>
      <c r="G332" s="225"/>
      <c r="H332" s="226">
        <f ca="1">IF(AND(E332&gt;=2018,SUMIF('DADOS BASE'!$C$101:$D$104,D332,'DADOS BASE'!$H$101:$H$104)&gt;J332),
SUMIF('DADOS BASE'!$C$101:$D$104,D332,'DADOS BASE'!$H$101:$H$104),
J332)</f>
        <v>1775289.7173792457</v>
      </c>
      <c r="I332" s="225"/>
      <c r="J332" s="226">
        <f t="shared" si="224"/>
        <v>1775289.7173792457</v>
      </c>
      <c r="K332" s="226"/>
      <c r="L332" s="227">
        <v>1553.2787527664</v>
      </c>
      <c r="M332" s="226">
        <f t="shared" si="225"/>
        <v>1.2117960980763411E-3</v>
      </c>
      <c r="N332" s="226">
        <f>L332*'DADOS BASE'!$I$29</f>
        <v>1529569.7089751484</v>
      </c>
      <c r="O332" s="228"/>
      <c r="P332" s="227">
        <v>321.29537725061999</v>
      </c>
      <c r="Q332" s="226">
        <f>P332*'DADOS BASE'!$I$33</f>
        <v>79097.791655397785</v>
      </c>
      <c r="R332" s="226"/>
      <c r="S332" s="227">
        <v>211.50617351399001</v>
      </c>
      <c r="T332" s="226">
        <f>S332*'DADOS BASE'!$I$37</f>
        <v>166622.21674869952</v>
      </c>
      <c r="U332" s="226"/>
      <c r="V332" s="226">
        <f t="shared" si="226"/>
        <v>245720.00840409729</v>
      </c>
      <c r="W332" s="228"/>
      <c r="X332" s="226"/>
      <c r="Y332" s="226"/>
      <c r="Z332" s="224"/>
      <c r="AA332" s="226"/>
      <c r="AB332" s="226"/>
      <c r="AC332" s="226"/>
      <c r="AD332" s="226"/>
      <c r="AE332" s="227">
        <v>1173</v>
      </c>
      <c r="AF332" s="227">
        <v>809.19337001261999</v>
      </c>
      <c r="AG332" s="226" t="s">
        <v>155</v>
      </c>
      <c r="AH332" s="229">
        <v>0.77200000000000002</v>
      </c>
      <c r="AI332" s="225">
        <f t="shared" si="227"/>
        <v>624.69728164974265</v>
      </c>
      <c r="AJ332" s="226">
        <f t="shared" si="228"/>
        <v>6.699905571441582E-2</v>
      </c>
      <c r="AK332" s="226"/>
      <c r="AL332" s="226">
        <f t="shared" si="229"/>
        <v>167.63822685893837</v>
      </c>
      <c r="AM332" s="228">
        <f t="shared" si="230"/>
        <v>135651.74173492444</v>
      </c>
      <c r="AN332" s="226"/>
      <c r="AO332" s="227">
        <v>0.76177199504337001</v>
      </c>
      <c r="AP332" s="225"/>
      <c r="AQ332" s="226">
        <f t="shared" si="231"/>
        <v>616.42084785038139</v>
      </c>
      <c r="AR332" s="226">
        <f t="shared" si="232"/>
        <v>6.5586539683423317E-4</v>
      </c>
      <c r="AS332" s="228">
        <f>AR332*'DADOS BASE'!W$38</f>
        <v>196743.0700562064</v>
      </c>
      <c r="AT332" s="225"/>
      <c r="AU332" s="227">
        <v>87.684549825174997</v>
      </c>
      <c r="AV332" s="227">
        <v>176</v>
      </c>
      <c r="AW332" s="226">
        <f t="shared" si="233"/>
        <v>21.921137456293749</v>
      </c>
      <c r="AX332" s="226">
        <f>IF($AW$11&gt;0,(AW332/$AW$11)*'DADOS BASE'!W$40,0)</f>
        <v>3938.7104980027862</v>
      </c>
      <c r="AY332" s="226">
        <f t="shared" si="234"/>
        <v>16.698908613700834</v>
      </c>
      <c r="AZ332" s="226">
        <f t="shared" si="235"/>
        <v>8.7335818863136148E-4</v>
      </c>
      <c r="BA332" s="226">
        <f>AZ332*'DADOS BASE'!W$41</f>
        <v>6452.2425864672232</v>
      </c>
      <c r="BB332" s="225"/>
      <c r="BC332" s="227">
        <v>0</v>
      </c>
      <c r="BD332" s="226">
        <f>IF($BC$11&gt;0,(BC332/$BC$11)*'DADOS BASE'!W$39,0)</f>
        <v>0</v>
      </c>
      <c r="BE332" s="187"/>
    </row>
    <row r="333" spans="2:57" x14ac:dyDescent="0.3">
      <c r="B333" s="184" t="s">
        <v>382</v>
      </c>
      <c r="C333" s="184" t="s">
        <v>450</v>
      </c>
      <c r="D333" s="184" t="s">
        <v>92</v>
      </c>
      <c r="E333" s="184">
        <v>2010</v>
      </c>
      <c r="F333" s="185"/>
      <c r="H333" s="186">
        <f ca="1">IF(AND(E333&gt;=2018,SUMIF('DADOS BASE'!$C$101:$D$104,D333,'DADOS BASE'!$H$101:$H$104)&gt;J333),
SUMIF('DADOS BASE'!$C$101:$D$104,D333,'DADOS BASE'!$H$101:$H$104),
J333)</f>
        <v>2554938.3881201292</v>
      </c>
      <c r="J333" s="186">
        <f t="shared" si="224"/>
        <v>2554938.3881201292</v>
      </c>
      <c r="K333" s="186"/>
      <c r="L333" s="188">
        <v>2594.5411246102999</v>
      </c>
      <c r="M333" s="186">
        <f t="shared" si="225"/>
        <v>2.0241407445391116E-3</v>
      </c>
      <c r="N333" s="186">
        <f>L333*'DADOS BASE'!$I$29</f>
        <v>2554938.3881201292</v>
      </c>
      <c r="O333" s="187"/>
      <c r="P333" s="188">
        <v>0</v>
      </c>
      <c r="Q333" s="186">
        <f>P333*'DADOS BASE'!$I$33</f>
        <v>0</v>
      </c>
      <c r="R333" s="186"/>
      <c r="S333" s="188">
        <v>0</v>
      </c>
      <c r="T333" s="186">
        <f>S333*'DADOS BASE'!$I$37</f>
        <v>0</v>
      </c>
      <c r="U333" s="186"/>
      <c r="V333" s="186">
        <f t="shared" si="226"/>
        <v>0</v>
      </c>
      <c r="W333" s="187"/>
      <c r="X333" s="186"/>
      <c r="Y333" s="186"/>
      <c r="Z333" s="185"/>
      <c r="AA333" s="186"/>
      <c r="AB333" s="186"/>
      <c r="AC333" s="186"/>
      <c r="AD333" s="186"/>
      <c r="AE333" s="188">
        <v>1258</v>
      </c>
      <c r="AF333" s="188">
        <v>1037.6935932629999</v>
      </c>
      <c r="AG333" s="186" t="s">
        <v>155</v>
      </c>
      <c r="AH333" s="189">
        <v>0.73899999999999999</v>
      </c>
      <c r="AI333" s="183">
        <f t="shared" si="227"/>
        <v>766.85556542135691</v>
      </c>
      <c r="AJ333" s="186">
        <f t="shared" si="228"/>
        <v>2.2488851632782383E-2</v>
      </c>
      <c r="AK333" s="186"/>
      <c r="AL333" s="186">
        <f t="shared" si="229"/>
        <v>175.63565894630673</v>
      </c>
      <c r="AM333" s="187">
        <f t="shared" si="230"/>
        <v>182255.99803710778</v>
      </c>
      <c r="AN333" s="186"/>
      <c r="AO333" s="188">
        <v>1.1342125678821</v>
      </c>
      <c r="AQ333" s="186">
        <f t="shared" si="231"/>
        <v>1176.9651150896307</v>
      </c>
      <c r="AR333" s="186">
        <f t="shared" si="232"/>
        <v>1.2522786907033258E-3</v>
      </c>
      <c r="AS333" s="187">
        <f>AR333*'DADOS BASE'!W$38</f>
        <v>375652.00933631434</v>
      </c>
      <c r="AU333" s="188">
        <v>0</v>
      </c>
      <c r="AV333" s="188">
        <v>0</v>
      </c>
      <c r="AW333" s="186">
        <f t="shared" si="233"/>
        <v>0</v>
      </c>
      <c r="AX333" s="186">
        <f>IF($AW$11&gt;0,(AW333/$AW$11)*'DADOS BASE'!W$40,0)</f>
        <v>0</v>
      </c>
      <c r="AY333" s="186">
        <f t="shared" si="234"/>
        <v>0</v>
      </c>
      <c r="AZ333" s="186">
        <f t="shared" si="235"/>
        <v>0</v>
      </c>
      <c r="BA333" s="186">
        <f>AZ333*'DADOS BASE'!W$41</f>
        <v>0</v>
      </c>
      <c r="BC333" s="188">
        <v>0</v>
      </c>
      <c r="BD333" s="186">
        <f>IF($BC$11&gt;0,(BC333/$BC$11)*'DADOS BASE'!W$39,0)</f>
        <v>0</v>
      </c>
      <c r="BE333" s="187"/>
    </row>
    <row r="334" spans="2:57" x14ac:dyDescent="0.3">
      <c r="B334" s="223" t="s">
        <v>382</v>
      </c>
      <c r="C334" s="223" t="s">
        <v>451</v>
      </c>
      <c r="D334" s="223" t="s">
        <v>94</v>
      </c>
      <c r="E334" s="223">
        <v>2010</v>
      </c>
      <c r="F334" s="224"/>
      <c r="G334" s="225"/>
      <c r="H334" s="226">
        <f ca="1">IF(AND(E334&gt;=2018,SUMIF('DADOS BASE'!$C$101:$D$104,D334,'DADOS BASE'!$H$101:$H$104)&gt;J334),
SUMIF('DADOS BASE'!$C$101:$D$104,D334,'DADOS BASE'!$H$101:$H$104),
J334)</f>
        <v>2437110.7805851479</v>
      </c>
      <c r="I334" s="225"/>
      <c r="J334" s="226">
        <f t="shared" si="224"/>
        <v>2437110.7805851479</v>
      </c>
      <c r="K334" s="226"/>
      <c r="L334" s="227">
        <v>2474.8871342105999</v>
      </c>
      <c r="M334" s="226">
        <f t="shared" si="225"/>
        <v>1.9307922464492605E-3</v>
      </c>
      <c r="N334" s="226">
        <f>L334*'DADOS BASE'!$I$29</f>
        <v>2437110.7805851479</v>
      </c>
      <c r="O334" s="228"/>
      <c r="P334" s="227">
        <v>0</v>
      </c>
      <c r="Q334" s="226">
        <f>P334*'DADOS BASE'!$I$33</f>
        <v>0</v>
      </c>
      <c r="R334" s="226"/>
      <c r="S334" s="227">
        <v>0</v>
      </c>
      <c r="T334" s="226">
        <f>S334*'DADOS BASE'!$I$37</f>
        <v>0</v>
      </c>
      <c r="U334" s="226"/>
      <c r="V334" s="226">
        <f t="shared" si="226"/>
        <v>0</v>
      </c>
      <c r="W334" s="228"/>
      <c r="X334" s="226"/>
      <c r="Y334" s="226"/>
      <c r="Z334" s="224"/>
      <c r="AA334" s="226"/>
      <c r="AB334" s="226"/>
      <c r="AC334" s="226"/>
      <c r="AD334" s="226"/>
      <c r="AE334" s="227">
        <v>1643</v>
      </c>
      <c r="AF334" s="227">
        <v>1333.6226856863</v>
      </c>
      <c r="AG334" s="226" t="s">
        <v>155</v>
      </c>
      <c r="AH334" s="229">
        <v>0.74399999999999999</v>
      </c>
      <c r="AI334" s="225">
        <f t="shared" si="227"/>
        <v>992.21527815060722</v>
      </c>
      <c r="AJ334" s="226">
        <f t="shared" si="228"/>
        <v>2.9232821948181387E-2</v>
      </c>
      <c r="AK334" s="226"/>
      <c r="AL334" s="226">
        <f t="shared" si="229"/>
        <v>174.423926811857</v>
      </c>
      <c r="AM334" s="228">
        <f t="shared" si="230"/>
        <v>232615.70572277936</v>
      </c>
      <c r="AN334" s="226"/>
      <c r="AO334" s="227">
        <v>1.0986394557823</v>
      </c>
      <c r="AP334" s="225"/>
      <c r="AQ334" s="226">
        <f t="shared" si="231"/>
        <v>1465.1705016213259</v>
      </c>
      <c r="AR334" s="226">
        <f t="shared" si="232"/>
        <v>1.5589262365586437E-3</v>
      </c>
      <c r="AS334" s="228">
        <f>AR334*'DADOS BASE'!W$38</f>
        <v>467638.53566928516</v>
      </c>
      <c r="AT334" s="225"/>
      <c r="AU334" s="227">
        <v>0</v>
      </c>
      <c r="AV334" s="227">
        <v>0</v>
      </c>
      <c r="AW334" s="226">
        <f t="shared" si="233"/>
        <v>0</v>
      </c>
      <c r="AX334" s="226">
        <f>IF($AW$11&gt;0,(AW334/$AW$11)*'DADOS BASE'!W$40,0)</f>
        <v>0</v>
      </c>
      <c r="AY334" s="226">
        <f t="shared" si="234"/>
        <v>0</v>
      </c>
      <c r="AZ334" s="226">
        <f t="shared" si="235"/>
        <v>0</v>
      </c>
      <c r="BA334" s="226">
        <f>AZ334*'DADOS BASE'!W$41</f>
        <v>0</v>
      </c>
      <c r="BB334" s="225"/>
      <c r="BC334" s="227">
        <v>0</v>
      </c>
      <c r="BD334" s="226">
        <f>IF($BC$11&gt;0,(BC334/$BC$11)*'DADOS BASE'!W$39,0)</f>
        <v>0</v>
      </c>
      <c r="BE334" s="187"/>
    </row>
    <row r="335" spans="2:57" x14ac:dyDescent="0.3">
      <c r="B335" s="184" t="s">
        <v>382</v>
      </c>
      <c r="C335" s="184" t="s">
        <v>452</v>
      </c>
      <c r="D335" s="184" t="s">
        <v>94</v>
      </c>
      <c r="E335" s="184">
        <v>2013</v>
      </c>
      <c r="F335" s="185"/>
      <c r="H335" s="186">
        <f ca="1">IF(AND(E335&gt;=2018,SUMIF('DADOS BASE'!$C$101:$D$104,D335,'DADOS BASE'!$H$101:$H$104)&gt;J335),
SUMIF('DADOS BASE'!$C$101:$D$104,D335,'DADOS BASE'!$H$101:$H$104),
J335)</f>
        <v>1178459.624545974</v>
      </c>
      <c r="J335" s="186">
        <f t="shared" si="224"/>
        <v>1178459.624545974</v>
      </c>
      <c r="K335" s="186"/>
      <c r="L335" s="188">
        <v>1196.7262982913001</v>
      </c>
      <c r="M335" s="186">
        <f t="shared" si="225"/>
        <v>9.33630397088704E-4</v>
      </c>
      <c r="N335" s="186">
        <f>L335*'DADOS BASE'!$I$29</f>
        <v>1178459.624545974</v>
      </c>
      <c r="O335" s="187"/>
      <c r="P335" s="188">
        <v>0</v>
      </c>
      <c r="Q335" s="186">
        <f>P335*'DADOS BASE'!$I$33</f>
        <v>0</v>
      </c>
      <c r="R335" s="186"/>
      <c r="S335" s="188">
        <v>0</v>
      </c>
      <c r="T335" s="186">
        <f>S335*'DADOS BASE'!$I$37</f>
        <v>0</v>
      </c>
      <c r="U335" s="186"/>
      <c r="V335" s="186">
        <f t="shared" si="226"/>
        <v>0</v>
      </c>
      <c r="W335" s="187"/>
      <c r="X335" s="186"/>
      <c r="Y335" s="186"/>
      <c r="Z335" s="185"/>
      <c r="AA335" s="186"/>
      <c r="AB335" s="186"/>
      <c r="AC335" s="186"/>
      <c r="AD335" s="186"/>
      <c r="AE335" s="188">
        <v>669</v>
      </c>
      <c r="AF335" s="188">
        <v>584.34580924218994</v>
      </c>
      <c r="AG335" s="186" t="s">
        <v>155</v>
      </c>
      <c r="AH335" s="189">
        <v>0.76500000000000001</v>
      </c>
      <c r="AI335" s="183">
        <f t="shared" si="227"/>
        <v>447.02454407027534</v>
      </c>
      <c r="AJ335" s="186">
        <f t="shared" si="228"/>
        <v>5.7557497272857215E-2</v>
      </c>
      <c r="AK335" s="186"/>
      <c r="AL335" s="186">
        <f t="shared" si="229"/>
        <v>169.33465184716803</v>
      </c>
      <c r="AM335" s="187">
        <f t="shared" si="230"/>
        <v>98949.994166377903</v>
      </c>
      <c r="AN335" s="186"/>
      <c r="AO335" s="188">
        <v>0.94954128440367003</v>
      </c>
      <c r="AQ335" s="186">
        <f t="shared" si="231"/>
        <v>554.86047024373102</v>
      </c>
      <c r="AR335" s="186">
        <f t="shared" si="232"/>
        <v>5.9036579274223961E-4</v>
      </c>
      <c r="AS335" s="187">
        <f>AR335*'DADOS BASE'!W$38</f>
        <v>177094.84153442955</v>
      </c>
      <c r="AU335" s="188">
        <v>0</v>
      </c>
      <c r="AV335" s="188">
        <v>0</v>
      </c>
      <c r="AW335" s="186">
        <f t="shared" si="233"/>
        <v>0</v>
      </c>
      <c r="AX335" s="186">
        <f>IF($AW$11&gt;0,(AW335/$AW$11)*'DADOS BASE'!W$40,0)</f>
        <v>0</v>
      </c>
      <c r="AY335" s="186">
        <f t="shared" si="234"/>
        <v>0</v>
      </c>
      <c r="AZ335" s="186">
        <f t="shared" si="235"/>
        <v>0</v>
      </c>
      <c r="BA335" s="186">
        <f>AZ335*'DADOS BASE'!W$41</f>
        <v>0</v>
      </c>
      <c r="BC335" s="188">
        <v>0</v>
      </c>
      <c r="BD335" s="186">
        <f>IF($BC$11&gt;0,(BC335/$BC$11)*'DADOS BASE'!W$39,0)</f>
        <v>0</v>
      </c>
      <c r="BE335" s="187"/>
    </row>
    <row r="336" spans="2:57" x14ac:dyDescent="0.3">
      <c r="B336" s="223" t="s">
        <v>382</v>
      </c>
      <c r="C336" s="223" t="s">
        <v>453</v>
      </c>
      <c r="D336" s="223" t="s">
        <v>94</v>
      </c>
      <c r="E336" s="223">
        <v>2013</v>
      </c>
      <c r="F336" s="224"/>
      <c r="G336" s="225"/>
      <c r="H336" s="226">
        <f ca="1">IF(AND(E336&gt;=2018,SUMIF('DADOS BASE'!$C$101:$D$104,D336,'DADOS BASE'!$H$101:$H$104)&gt;J336),
SUMIF('DADOS BASE'!$C$101:$D$104,D336,'DADOS BASE'!$H$101:$H$104),
J336)</f>
        <v>1487271.5452242843</v>
      </c>
      <c r="I336" s="225"/>
      <c r="J336" s="226">
        <f t="shared" si="224"/>
        <v>1487271.5452242843</v>
      </c>
      <c r="K336" s="226"/>
      <c r="L336" s="227">
        <v>1510.3249477520001</v>
      </c>
      <c r="M336" s="226">
        <f t="shared" si="225"/>
        <v>1.1782855300464378E-3</v>
      </c>
      <c r="N336" s="226">
        <f>L336*'DADOS BASE'!$I$29</f>
        <v>1487271.5452242843</v>
      </c>
      <c r="O336" s="228"/>
      <c r="P336" s="227">
        <v>0</v>
      </c>
      <c r="Q336" s="226">
        <f>P336*'DADOS BASE'!$I$33</f>
        <v>0</v>
      </c>
      <c r="R336" s="226"/>
      <c r="S336" s="227">
        <v>0</v>
      </c>
      <c r="T336" s="226">
        <f>S336*'DADOS BASE'!$I$37</f>
        <v>0</v>
      </c>
      <c r="U336" s="226"/>
      <c r="V336" s="226">
        <f t="shared" si="226"/>
        <v>0</v>
      </c>
      <c r="W336" s="228"/>
      <c r="X336" s="226"/>
      <c r="Y336" s="226"/>
      <c r="Z336" s="224"/>
      <c r="AA336" s="226"/>
      <c r="AB336" s="226"/>
      <c r="AC336" s="226"/>
      <c r="AD336" s="226"/>
      <c r="AE336" s="227">
        <v>1213</v>
      </c>
      <c r="AF336" s="227">
        <v>895.20506798300005</v>
      </c>
      <c r="AG336" s="226" t="s">
        <v>155</v>
      </c>
      <c r="AH336" s="229">
        <v>0.72899999999999998</v>
      </c>
      <c r="AI336" s="225">
        <f t="shared" si="227"/>
        <v>652.60449455960702</v>
      </c>
      <c r="AJ336" s="226">
        <f t="shared" si="228"/>
        <v>9.0009110019843679E-3</v>
      </c>
      <c r="AK336" s="226"/>
      <c r="AL336" s="226">
        <f t="shared" si="229"/>
        <v>178.05912321520626</v>
      </c>
      <c r="AM336" s="228">
        <f t="shared" si="230"/>
        <v>159399.4295028621</v>
      </c>
      <c r="AN336" s="226"/>
      <c r="AO336" s="227">
        <v>1.0492321589883</v>
      </c>
      <c r="AP336" s="225"/>
      <c r="AQ336" s="226">
        <f t="shared" si="231"/>
        <v>939.27794621707108</v>
      </c>
      <c r="AR336" s="226">
        <f t="shared" si="232"/>
        <v>9.9938200513755016E-4</v>
      </c>
      <c r="AS336" s="228">
        <f>AR336*'DADOS BASE'!W$38</f>
        <v>299789.38483224204</v>
      </c>
      <c r="AT336" s="225"/>
      <c r="AU336" s="227">
        <v>0</v>
      </c>
      <c r="AV336" s="227">
        <v>0</v>
      </c>
      <c r="AW336" s="226">
        <f t="shared" si="233"/>
        <v>0</v>
      </c>
      <c r="AX336" s="226">
        <f>IF($AW$11&gt;0,(AW336/$AW$11)*'DADOS BASE'!W$40,0)</f>
        <v>0</v>
      </c>
      <c r="AY336" s="226">
        <f t="shared" si="234"/>
        <v>0</v>
      </c>
      <c r="AZ336" s="226">
        <f t="shared" si="235"/>
        <v>0</v>
      </c>
      <c r="BA336" s="226">
        <f>AZ336*'DADOS BASE'!W$41</f>
        <v>0</v>
      </c>
      <c r="BB336" s="225"/>
      <c r="BC336" s="227">
        <v>0</v>
      </c>
      <c r="BD336" s="226">
        <f>IF($BC$11&gt;0,(BC336/$BC$11)*'DADOS BASE'!W$39,0)</f>
        <v>0</v>
      </c>
      <c r="BE336" s="187"/>
    </row>
    <row r="337" spans="2:57" x14ac:dyDescent="0.3">
      <c r="B337" s="184" t="s">
        <v>382</v>
      </c>
      <c r="C337" s="184" t="s">
        <v>454</v>
      </c>
      <c r="D337" s="184" t="s">
        <v>92</v>
      </c>
      <c r="E337" s="184">
        <v>2009</v>
      </c>
      <c r="F337" s="185"/>
      <c r="H337" s="186">
        <f ca="1">IF(AND(E337&gt;=2018,SUMIF('DADOS BASE'!$C$101:$D$104,D337,'DADOS BASE'!$H$101:$H$104)&gt;J337),
SUMIF('DADOS BASE'!$C$101:$D$104,D337,'DADOS BASE'!$H$101:$H$104),
J337)</f>
        <v>4351306.9213353395</v>
      </c>
      <c r="J337" s="186">
        <f t="shared" si="224"/>
        <v>4351306.9213353395</v>
      </c>
      <c r="K337" s="186"/>
      <c r="L337" s="188">
        <v>4418.7542078119004</v>
      </c>
      <c r="M337" s="186">
        <f t="shared" si="225"/>
        <v>3.4473072510959441E-3</v>
      </c>
      <c r="N337" s="186">
        <f>L337*'DADOS BASE'!$I$29</f>
        <v>4351306.9213353395</v>
      </c>
      <c r="O337" s="187"/>
      <c r="P337" s="188">
        <v>0</v>
      </c>
      <c r="Q337" s="186">
        <f>P337*'DADOS BASE'!$I$33</f>
        <v>0</v>
      </c>
      <c r="R337" s="186"/>
      <c r="S337" s="188">
        <v>0</v>
      </c>
      <c r="T337" s="186">
        <f>S337*'DADOS BASE'!$I$37</f>
        <v>0</v>
      </c>
      <c r="U337" s="186"/>
      <c r="V337" s="186">
        <f t="shared" si="226"/>
        <v>0</v>
      </c>
      <c r="W337" s="187"/>
      <c r="X337" s="186"/>
      <c r="Y337" s="186"/>
      <c r="Z337" s="185"/>
      <c r="AA337" s="186"/>
      <c r="AB337" s="186"/>
      <c r="AC337" s="186"/>
      <c r="AD337" s="186"/>
      <c r="AE337" s="188">
        <v>2097</v>
      </c>
      <c r="AF337" s="188">
        <v>1612.4283213814001</v>
      </c>
      <c r="AG337" s="186" t="s">
        <v>155</v>
      </c>
      <c r="AH337" s="189">
        <v>0.77200000000000002</v>
      </c>
      <c r="AI337" s="183">
        <f t="shared" si="227"/>
        <v>1244.7946641064409</v>
      </c>
      <c r="AJ337" s="186">
        <f t="shared" si="228"/>
        <v>6.699905571441582E-2</v>
      </c>
      <c r="AK337" s="186"/>
      <c r="AL337" s="186">
        <f t="shared" si="229"/>
        <v>167.63822685893837</v>
      </c>
      <c r="AM337" s="187">
        <f t="shared" si="230"/>
        <v>270304.62473351235</v>
      </c>
      <c r="AN337" s="186"/>
      <c r="AO337" s="188">
        <v>1.0122009569378001</v>
      </c>
      <c r="AQ337" s="186">
        <f t="shared" si="231"/>
        <v>1632.1014898958638</v>
      </c>
      <c r="AR337" s="186">
        <f t="shared" si="232"/>
        <v>1.7365390789055735E-3</v>
      </c>
      <c r="AS337" s="187">
        <f>AR337*'DADOS BASE'!W$38</f>
        <v>520917.90679240588</v>
      </c>
      <c r="AU337" s="188">
        <v>0</v>
      </c>
      <c r="AV337" s="188">
        <v>0</v>
      </c>
      <c r="AW337" s="186">
        <f t="shared" si="233"/>
        <v>0</v>
      </c>
      <c r="AX337" s="186">
        <f>IF($AW$11&gt;0,(AW337/$AW$11)*'DADOS BASE'!W$40,0)</f>
        <v>0</v>
      </c>
      <c r="AY337" s="186">
        <f t="shared" si="234"/>
        <v>0</v>
      </c>
      <c r="AZ337" s="186">
        <f t="shared" si="235"/>
        <v>0</v>
      </c>
      <c r="BA337" s="186">
        <f>AZ337*'DADOS BASE'!W$41</f>
        <v>0</v>
      </c>
      <c r="BC337" s="188">
        <v>8</v>
      </c>
      <c r="BD337" s="186">
        <f>IF($BC$11&gt;0,(BC337/$BC$11)*'DADOS BASE'!W$39,0)</f>
        <v>43225.632100111907</v>
      </c>
      <c r="BE337" s="187"/>
    </row>
    <row r="338" spans="2:57" x14ac:dyDescent="0.3">
      <c r="B338" s="223" t="s">
        <v>382</v>
      </c>
      <c r="C338" s="223" t="s">
        <v>455</v>
      </c>
      <c r="D338" s="223" t="s">
        <v>92</v>
      </c>
      <c r="E338" s="223">
        <v>2009</v>
      </c>
      <c r="F338" s="224"/>
      <c r="G338" s="225"/>
      <c r="H338" s="226">
        <f ca="1">IF(AND(E338&gt;=2018,SUMIF('DADOS BASE'!$C$101:$D$104,D338,'DADOS BASE'!$H$101:$H$104)&gt;J338),
SUMIF('DADOS BASE'!$C$101:$D$104,D338,'DADOS BASE'!$H$101:$H$104),
J338)</f>
        <v>3768785.233526825</v>
      </c>
      <c r="I338" s="225"/>
      <c r="J338" s="226">
        <f t="shared" si="224"/>
        <v>3768785.233526825</v>
      </c>
      <c r="K338" s="226"/>
      <c r="L338" s="227">
        <v>3823.9531621882002</v>
      </c>
      <c r="M338" s="226">
        <f t="shared" si="225"/>
        <v>2.983271040638022E-3</v>
      </c>
      <c r="N338" s="226">
        <f>L338*'DADOS BASE'!$I$29</f>
        <v>3765584.8411018881</v>
      </c>
      <c r="O338" s="228"/>
      <c r="P338" s="227">
        <v>0</v>
      </c>
      <c r="Q338" s="226">
        <f>P338*'DADOS BASE'!$I$33</f>
        <v>0</v>
      </c>
      <c r="R338" s="226"/>
      <c r="S338" s="227">
        <v>4.0625</v>
      </c>
      <c r="T338" s="226">
        <f>S338*'DADOS BASE'!$I$37</f>
        <v>3200.3924249370352</v>
      </c>
      <c r="U338" s="226"/>
      <c r="V338" s="226">
        <f t="shared" si="226"/>
        <v>3200.3924249370352</v>
      </c>
      <c r="W338" s="228"/>
      <c r="X338" s="226"/>
      <c r="Y338" s="226"/>
      <c r="Z338" s="224"/>
      <c r="AA338" s="226"/>
      <c r="AB338" s="226"/>
      <c r="AC338" s="226"/>
      <c r="AD338" s="226"/>
      <c r="AE338" s="227">
        <v>1727</v>
      </c>
      <c r="AF338" s="227">
        <v>1330.4418944865999</v>
      </c>
      <c r="AG338" s="226" t="s">
        <v>155</v>
      </c>
      <c r="AH338" s="229">
        <v>0.78900000000000003</v>
      </c>
      <c r="AI338" s="225">
        <f t="shared" si="227"/>
        <v>1049.7186547499275</v>
      </c>
      <c r="AJ338" s="226">
        <f t="shared" si="228"/>
        <v>8.9928554786772447E-2</v>
      </c>
      <c r="AK338" s="226"/>
      <c r="AL338" s="226">
        <f t="shared" si="229"/>
        <v>163.51833760180924</v>
      </c>
      <c r="AM338" s="228">
        <f t="shared" si="230"/>
        <v>217551.64686225052</v>
      </c>
      <c r="AN338" s="226"/>
      <c r="AO338" s="227">
        <v>1.0517366136035</v>
      </c>
      <c r="AP338" s="225"/>
      <c r="AQ338" s="226">
        <f t="shared" si="231"/>
        <v>1399.2744527035618</v>
      </c>
      <c r="AR338" s="226">
        <f t="shared" si="232"/>
        <v>1.488813523103262E-3</v>
      </c>
      <c r="AS338" s="228">
        <f>AR338*'DADOS BASE'!W$38</f>
        <v>446606.49073786259</v>
      </c>
      <c r="AT338" s="225"/>
      <c r="AU338" s="227">
        <v>4.0625</v>
      </c>
      <c r="AV338" s="227">
        <v>3.25</v>
      </c>
      <c r="AW338" s="226">
        <f t="shared" si="233"/>
        <v>1.015625</v>
      </c>
      <c r="AX338" s="226">
        <f>IF($AW$11&gt;0,(AW338/$AW$11)*'DADOS BASE'!W$40,0)</f>
        <v>182.48381761711786</v>
      </c>
      <c r="AY338" s="226">
        <f t="shared" si="234"/>
        <v>1.0681699981910546</v>
      </c>
      <c r="AZ338" s="226">
        <f t="shared" si="235"/>
        <v>5.5865627889304001E-5</v>
      </c>
      <c r="BA338" s="226">
        <f>AZ338*'DADOS BASE'!W$41</f>
        <v>412.72708961711629</v>
      </c>
      <c r="BB338" s="225"/>
      <c r="BC338" s="227">
        <v>35</v>
      </c>
      <c r="BD338" s="226">
        <f>IF($BC$11&gt;0,(BC338/$BC$11)*'DADOS BASE'!W$39,0)</f>
        <v>189112.14043798961</v>
      </c>
      <c r="BE338" s="187"/>
    </row>
    <row r="339" spans="2:57" x14ac:dyDescent="0.3">
      <c r="B339" s="184" t="s">
        <v>382</v>
      </c>
      <c r="C339" s="184" t="s">
        <v>456</v>
      </c>
      <c r="D339" s="184" t="s">
        <v>94</v>
      </c>
      <c r="E339" s="184">
        <v>2013</v>
      </c>
      <c r="F339" s="185"/>
      <c r="H339" s="186">
        <f ca="1">IF(AND(E339&gt;=2018,SUMIF('DADOS BASE'!$C$101:$D$104,D339,'DADOS BASE'!$H$101:$H$104)&gt;J339),
SUMIF('DADOS BASE'!$C$101:$D$104,D339,'DADOS BASE'!$H$101:$H$104),
J339)</f>
        <v>1018091.97005747</v>
      </c>
      <c r="J339" s="186">
        <f t="shared" si="224"/>
        <v>1018091.97005747</v>
      </c>
      <c r="K339" s="186"/>
      <c r="L339" s="188">
        <v>1033.8728703720999</v>
      </c>
      <c r="M339" s="186">
        <f t="shared" si="225"/>
        <v>8.0657969987201297E-4</v>
      </c>
      <c r="N339" s="186">
        <f>L339*'DADOS BASE'!$I$29</f>
        <v>1018091.97005747</v>
      </c>
      <c r="O339" s="187"/>
      <c r="P339" s="188">
        <v>0</v>
      </c>
      <c r="Q339" s="186">
        <f>P339*'DADOS BASE'!$I$33</f>
        <v>0</v>
      </c>
      <c r="R339" s="186"/>
      <c r="S339" s="188">
        <v>0</v>
      </c>
      <c r="T339" s="186">
        <f>S339*'DADOS BASE'!$I$37</f>
        <v>0</v>
      </c>
      <c r="U339" s="186"/>
      <c r="V339" s="186">
        <f t="shared" si="226"/>
        <v>0</v>
      </c>
      <c r="W339" s="187"/>
      <c r="X339" s="186"/>
      <c r="Y339" s="186"/>
      <c r="Z339" s="185"/>
      <c r="AA339" s="186"/>
      <c r="AB339" s="186"/>
      <c r="AC339" s="186"/>
      <c r="AD339" s="186"/>
      <c r="AE339" s="188">
        <v>1043</v>
      </c>
      <c r="AF339" s="188">
        <v>715.77890851946995</v>
      </c>
      <c r="AG339" s="186" t="s">
        <v>155</v>
      </c>
      <c r="AH339" s="189">
        <v>0.78900000000000003</v>
      </c>
      <c r="AI339" s="183">
        <f t="shared" si="227"/>
        <v>564.7495588218618</v>
      </c>
      <c r="AJ339" s="186">
        <f t="shared" si="228"/>
        <v>8.9928554786772447E-2</v>
      </c>
      <c r="AK339" s="186"/>
      <c r="AL339" s="186">
        <f t="shared" si="229"/>
        <v>163.51833760180924</v>
      </c>
      <c r="AM339" s="187">
        <f t="shared" si="230"/>
        <v>117042.97721154122</v>
      </c>
      <c r="AN339" s="186"/>
      <c r="AO339" s="188">
        <v>0.93711018711019001</v>
      </c>
      <c r="AQ339" s="186">
        <f t="shared" si="231"/>
        <v>670.76370689220801</v>
      </c>
      <c r="AR339" s="186">
        <f t="shared" si="232"/>
        <v>7.1368563593689476E-4</v>
      </c>
      <c r="AS339" s="187">
        <f>AR339*'DADOS BASE'!W$38</f>
        <v>214087.68284924375</v>
      </c>
      <c r="AU339" s="188">
        <v>0</v>
      </c>
      <c r="AV339" s="188">
        <v>0</v>
      </c>
      <c r="AW339" s="186">
        <f t="shared" si="233"/>
        <v>0</v>
      </c>
      <c r="AX339" s="186">
        <f>IF($AW$11&gt;0,(AW339/$AW$11)*'DADOS BASE'!W$40,0)</f>
        <v>0</v>
      </c>
      <c r="AY339" s="186">
        <f t="shared" si="234"/>
        <v>0</v>
      </c>
      <c r="AZ339" s="186">
        <f t="shared" si="235"/>
        <v>0</v>
      </c>
      <c r="BA339" s="186">
        <f>AZ339*'DADOS BASE'!W$41</f>
        <v>0</v>
      </c>
      <c r="BC339" s="188">
        <v>0</v>
      </c>
      <c r="BD339" s="186">
        <f>IF($BC$11&gt;0,(BC339/$BC$11)*'DADOS BASE'!W$39,0)</f>
        <v>0</v>
      </c>
      <c r="BE339" s="187"/>
    </row>
    <row r="340" spans="2:57" x14ac:dyDescent="0.3">
      <c r="F340" s="185"/>
      <c r="H340" s="186"/>
      <c r="J340" s="186"/>
      <c r="K340" s="186"/>
      <c r="L340" s="186"/>
      <c r="M340" s="186"/>
      <c r="N340" s="186"/>
      <c r="O340" s="187"/>
      <c r="P340" s="186"/>
      <c r="Q340" s="186"/>
      <c r="R340" s="186"/>
      <c r="S340" s="186"/>
      <c r="T340" s="186"/>
      <c r="U340" s="186"/>
      <c r="V340" s="186"/>
      <c r="W340" s="187"/>
      <c r="X340" s="186"/>
      <c r="Y340" s="186"/>
      <c r="Z340" s="185"/>
      <c r="AA340" s="186"/>
      <c r="AB340" s="186"/>
      <c r="AC340" s="186"/>
      <c r="AD340" s="186"/>
      <c r="AE340" s="186"/>
      <c r="AF340" s="186"/>
      <c r="AG340" s="186"/>
      <c r="AH340" s="185"/>
      <c r="AJ340" s="186"/>
      <c r="AK340" s="186"/>
      <c r="AL340" s="186"/>
      <c r="AM340" s="187"/>
      <c r="AN340" s="186"/>
      <c r="AO340" s="186"/>
      <c r="AQ340" s="186"/>
      <c r="AR340" s="186"/>
      <c r="AS340" s="187"/>
      <c r="AU340" s="186"/>
      <c r="AV340" s="186"/>
      <c r="AW340" s="186"/>
      <c r="AX340" s="186"/>
      <c r="AY340" s="186"/>
      <c r="AZ340" s="186"/>
      <c r="BA340" s="186"/>
      <c r="BC340" s="186"/>
      <c r="BD340" s="186"/>
      <c r="BE340" s="187"/>
    </row>
    <row r="341" spans="2:57" x14ac:dyDescent="0.3">
      <c r="B341" s="209" t="s">
        <v>457</v>
      </c>
      <c r="C341" s="209" t="s">
        <v>458</v>
      </c>
      <c r="D341" s="211" t="s">
        <v>154</v>
      </c>
      <c r="E341" s="211"/>
      <c r="F341" s="210"/>
      <c r="G341" s="211"/>
      <c r="H341" s="212">
        <f ca="1">SUM(H342:H352)</f>
        <v>20995067.045339853</v>
      </c>
      <c r="I341" s="211"/>
      <c r="J341" s="212">
        <f>SUM(J342:J352)</f>
        <v>20995067.045339853</v>
      </c>
      <c r="K341" s="212"/>
      <c r="L341" s="212">
        <f>SUM(L342:L352)</f>
        <v>20519.709104655602</v>
      </c>
      <c r="M341" s="212">
        <f>SUM(M342:M352)</f>
        <v>1.6008526082261307E-2</v>
      </c>
      <c r="N341" s="212">
        <f>SUM(N342:N352)</f>
        <v>20206498.947831165</v>
      </c>
      <c r="O341" s="214"/>
      <c r="P341" s="212">
        <f>SUM(P342:P352)</f>
        <v>0</v>
      </c>
      <c r="Q341" s="212">
        <f>SUM(Q342:Q352)</f>
        <v>0</v>
      </c>
      <c r="R341" s="212"/>
      <c r="S341" s="212">
        <f>SUM(S342:S352)</f>
        <v>1000.9890884528201</v>
      </c>
      <c r="T341" s="212">
        <f>SUM(T342:T352)</f>
        <v>788568.0975086852</v>
      </c>
      <c r="U341" s="212"/>
      <c r="V341" s="212">
        <f>SUM(V342:V352)</f>
        <v>788568.0975086852</v>
      </c>
      <c r="W341" s="214"/>
      <c r="X341" s="212">
        <f>SUMIF(INDICADORES!$D$13:$D$53,C341,INDICADORES!$L$13:$L$53)</f>
        <v>6.5856036496753185E-3</v>
      </c>
      <c r="Y341" s="212">
        <f>X341*'DADOS BASE'!$I$79</f>
        <v>273455.44634598331</v>
      </c>
      <c r="Z341" s="210">
        <f>SUMIF(INDICADORES!$D$13:$D$53,C341,INDICADORES!$R$13:$R$53)</f>
        <v>3.1577740844747543E-2</v>
      </c>
      <c r="AA341" s="212">
        <f>Z341*'DADOS BASE'!$I$84</f>
        <v>1311209.3707194105</v>
      </c>
      <c r="AB341" s="212">
        <f>SUMIF(INDICADORES!$D$13:$D$53,C341,INDICADORES!$Z$13:$Z$53)</f>
        <v>2.3284866476471759E-2</v>
      </c>
      <c r="AC341" s="212">
        <f>AB341*'DADOS BASE'!$I$89</f>
        <v>1933725.1052890592</v>
      </c>
      <c r="AD341" s="212"/>
      <c r="AE341" s="212">
        <f>SUM(AE342:AE352)</f>
        <v>12083</v>
      </c>
      <c r="AF341" s="212">
        <f>SUM(AF342:AF352)</f>
        <v>9202.7126789965096</v>
      </c>
      <c r="AG341" s="212" t="s">
        <v>155</v>
      </c>
      <c r="AH341" s="210"/>
      <c r="AI341" s="211"/>
      <c r="AJ341" s="212"/>
      <c r="AK341" s="212"/>
      <c r="AL341" s="212"/>
      <c r="AM341" s="214">
        <f>SUM(AM342:AM352)</f>
        <v>1650114.3118714774</v>
      </c>
      <c r="AN341" s="212"/>
      <c r="AO341" s="212"/>
      <c r="AP341" s="211"/>
      <c r="AQ341" s="212">
        <f>SUM(AQ342:AQ352)</f>
        <v>14491.775335940572</v>
      </c>
      <c r="AR341" s="212"/>
      <c r="AS341" s="214">
        <f>SUM(AS342:AS352)</f>
        <v>4625340.5933632497</v>
      </c>
      <c r="AT341" s="211"/>
      <c r="AU341" s="212">
        <f t="shared" ref="AU341:BA341" si="236">SUM(AU342:AU352)</f>
        <v>924.07475466873109</v>
      </c>
      <c r="AV341" s="212">
        <f t="shared" si="236"/>
        <v>1999.25</v>
      </c>
      <c r="AW341" s="212">
        <f t="shared" si="236"/>
        <v>231.01868866718277</v>
      </c>
      <c r="AX341" s="212">
        <f t="shared" si="236"/>
        <v>41508.600368135783</v>
      </c>
      <c r="AY341" s="212">
        <f t="shared" si="236"/>
        <v>302.52372002659689</v>
      </c>
      <c r="AZ341" s="212">
        <f t="shared" si="236"/>
        <v>1.5822085996906054E-2</v>
      </c>
      <c r="BA341" s="212">
        <f t="shared" si="236"/>
        <v>116891.25768198936</v>
      </c>
      <c r="BB341" s="211"/>
      <c r="BC341" s="212">
        <f>SUM(BC342:BC352)</f>
        <v>40.5</v>
      </c>
      <c r="BD341" s="212">
        <f>SUM(BD342:BD352)</f>
        <v>218829.76250681654</v>
      </c>
      <c r="BE341" s="187"/>
    </row>
    <row r="342" spans="2:57" x14ac:dyDescent="0.3">
      <c r="B342" s="216" t="s">
        <v>457</v>
      </c>
      <c r="C342" s="218" t="s">
        <v>156</v>
      </c>
      <c r="D342" s="218" t="s">
        <v>157</v>
      </c>
      <c r="E342" s="218"/>
      <c r="F342" s="217"/>
      <c r="G342" s="218"/>
      <c r="H342" s="219"/>
      <c r="I342" s="218"/>
      <c r="J342" s="219"/>
      <c r="K342" s="219"/>
      <c r="L342" s="219">
        <v>0</v>
      </c>
      <c r="M342" s="219">
        <v>0</v>
      </c>
      <c r="N342" s="219">
        <v>0</v>
      </c>
      <c r="O342" s="221"/>
      <c r="P342" s="219"/>
      <c r="Q342" s="219"/>
      <c r="R342" s="219"/>
      <c r="S342" s="219"/>
      <c r="T342" s="219"/>
      <c r="U342" s="219"/>
      <c r="V342" s="219"/>
      <c r="W342" s="221"/>
      <c r="X342" s="219"/>
      <c r="Y342" s="219"/>
      <c r="Z342" s="217"/>
      <c r="AA342" s="219"/>
      <c r="AB342" s="219"/>
      <c r="AC342" s="219"/>
      <c r="AD342" s="219"/>
      <c r="AE342" s="219"/>
      <c r="AF342" s="219"/>
      <c r="AG342" s="219" t="s">
        <v>155</v>
      </c>
      <c r="AH342" s="217"/>
      <c r="AI342" s="218"/>
      <c r="AJ342" s="219"/>
      <c r="AK342" s="219"/>
      <c r="AL342" s="219"/>
      <c r="AM342" s="221"/>
      <c r="AN342" s="219"/>
      <c r="AO342" s="219"/>
      <c r="AP342" s="218"/>
      <c r="AQ342" s="219"/>
      <c r="AR342" s="219"/>
      <c r="AS342" s="221"/>
      <c r="AT342" s="218"/>
      <c r="AU342" s="219"/>
      <c r="AV342" s="219"/>
      <c r="AW342" s="219"/>
      <c r="AX342" s="219"/>
      <c r="AY342" s="219"/>
      <c r="AZ342" s="219"/>
      <c r="BA342" s="219"/>
      <c r="BB342" s="218"/>
      <c r="BC342" s="219"/>
      <c r="BD342" s="219"/>
      <c r="BE342" s="187"/>
    </row>
    <row r="343" spans="2:57" x14ac:dyDescent="0.3">
      <c r="B343" s="184" t="s">
        <v>457</v>
      </c>
      <c r="C343" s="184" t="s">
        <v>459</v>
      </c>
      <c r="D343" s="184" t="s">
        <v>94</v>
      </c>
      <c r="E343" s="184">
        <v>2011</v>
      </c>
      <c r="F343" s="185"/>
      <c r="H343" s="186">
        <f ca="1">IF(AND(E343&gt;=2018,SUMIF('DADOS BASE'!$C$101:$D$104,D343,'DADOS BASE'!$H$101:$H$104)&gt;J343),
SUMIF('DADOS BASE'!$C$101:$D$104,D343,'DADOS BASE'!$H$101:$H$104),
J343)</f>
        <v>1958328.545958363</v>
      </c>
      <c r="J343" s="186">
        <f t="shared" ref="J343:J352" si="237">N343+Q343+T343</f>
        <v>1958328.545958363</v>
      </c>
      <c r="K343" s="186"/>
      <c r="L343" s="188">
        <v>1930.0487848168</v>
      </c>
      <c r="M343" s="186">
        <f t="shared" ref="M343:M352" si="238">L343/$L$11</f>
        <v>1.5057346161289581E-3</v>
      </c>
      <c r="N343" s="186">
        <f>L343*'DADOS BASE'!$I$29</f>
        <v>1900588.7725189587</v>
      </c>
      <c r="O343" s="187"/>
      <c r="P343" s="188">
        <v>0</v>
      </c>
      <c r="Q343" s="186">
        <f>P343*'DADOS BASE'!$I$33</f>
        <v>0</v>
      </c>
      <c r="R343" s="186"/>
      <c r="S343" s="188">
        <v>73.293458567724002</v>
      </c>
      <c r="T343" s="186">
        <f>S343*'DADOS BASE'!$I$37</f>
        <v>57739.773439404387</v>
      </c>
      <c r="U343" s="186"/>
      <c r="V343" s="186">
        <f t="shared" ref="V343:V352" si="239">T343+Q343</f>
        <v>57739.773439404387</v>
      </c>
      <c r="W343" s="187"/>
      <c r="X343" s="186"/>
      <c r="Y343" s="186"/>
      <c r="Z343" s="185"/>
      <c r="AA343" s="186"/>
      <c r="AB343" s="186"/>
      <c r="AC343" s="186"/>
      <c r="AD343" s="186"/>
      <c r="AE343" s="188">
        <v>1231</v>
      </c>
      <c r="AF343" s="188">
        <v>979.01858414293997</v>
      </c>
      <c r="AG343" s="186" t="s">
        <v>155</v>
      </c>
      <c r="AH343" s="189">
        <v>0.68799999999999994</v>
      </c>
      <c r="AI343" s="183">
        <f t="shared" ref="AI343:AI352" si="240">AF343*AH343</f>
        <v>673.56478589034259</v>
      </c>
      <c r="AJ343" s="186">
        <f t="shared" ref="AJ343:AJ352" si="241">(AH343-$AI$12)*$AJ$12</f>
        <v>-4.6299645584287487E-2</v>
      </c>
      <c r="AK343" s="186"/>
      <c r="AL343" s="186">
        <f t="shared" ref="AL343:AL352" si="242">$AL$11-(AJ343*$AL$11)</f>
        <v>187.99532671769421</v>
      </c>
      <c r="AM343" s="187">
        <f t="shared" ref="AM343:AM352" si="243">AF343*AL343</f>
        <v>184050.9185886464</v>
      </c>
      <c r="AN343" s="186"/>
      <c r="AO343" s="188">
        <v>1.6125112511251001</v>
      </c>
      <c r="AQ343" s="186">
        <f t="shared" ref="AQ343:AQ352" si="244">AF343*AO343</f>
        <v>1578.6784819910563</v>
      </c>
      <c r="AR343" s="186">
        <f t="shared" ref="AR343:AR352" si="245">AQ343/$AQ$11</f>
        <v>1.6796975518842982E-3</v>
      </c>
      <c r="AS343" s="187">
        <f>AR343*'DADOS BASE'!W$38</f>
        <v>503866.88292862516</v>
      </c>
      <c r="AU343" s="188">
        <v>62.513849762679001</v>
      </c>
      <c r="AV343" s="188">
        <v>193.5</v>
      </c>
      <c r="AW343" s="186">
        <f t="shared" ref="AW343:AW352" si="246">AU343/4</f>
        <v>15.62846244066975</v>
      </c>
      <c r="AX343" s="186">
        <f>IF($AW$11&gt;0,(AW343/$AW$11)*'DADOS BASE'!W$40,0)</f>
        <v>2808.0654667413219</v>
      </c>
      <c r="AY343" s="186">
        <f t="shared" ref="AY343:AY352" si="247">AO343*AW343</f>
        <v>25.201071523366014</v>
      </c>
      <c r="AZ343" s="186">
        <f t="shared" ref="AZ343:AZ352" si="248">IF($AY$11&gt;0,AY343/$AY$11,0)</f>
        <v>1.318023991050427E-3</v>
      </c>
      <c r="BA343" s="186">
        <f>AZ343*'DADOS BASE'!W$41</f>
        <v>9737.3685112725598</v>
      </c>
      <c r="BC343" s="188">
        <v>0</v>
      </c>
      <c r="BD343" s="186">
        <f>IF($BC$11&gt;0,(BC343/$BC$11)*'DADOS BASE'!W$39,0)</f>
        <v>0</v>
      </c>
      <c r="BE343" s="187"/>
    </row>
    <row r="344" spans="2:57" x14ac:dyDescent="0.3">
      <c r="B344" s="223" t="s">
        <v>457</v>
      </c>
      <c r="C344" s="223" t="s">
        <v>460</v>
      </c>
      <c r="D344" s="223" t="s">
        <v>94</v>
      </c>
      <c r="E344" s="223">
        <v>2011</v>
      </c>
      <c r="F344" s="224"/>
      <c r="G344" s="225"/>
      <c r="H344" s="226">
        <f ca="1">IF(AND(E344&gt;=2018,SUMIF('DADOS BASE'!$C$101:$D$104,D344,'DADOS BASE'!$H$101:$H$104)&gt;J344),
SUMIF('DADOS BASE'!$C$101:$D$104,D344,'DADOS BASE'!$H$101:$H$104),
J344)</f>
        <v>3039497.4026659313</v>
      </c>
      <c r="I344" s="225"/>
      <c r="J344" s="226">
        <f t="shared" si="237"/>
        <v>3039497.4026659313</v>
      </c>
      <c r="K344" s="226"/>
      <c r="L344" s="227">
        <v>3003.0902369896999</v>
      </c>
      <c r="M344" s="226">
        <f t="shared" si="238"/>
        <v>2.3428718283012321E-3</v>
      </c>
      <c r="N344" s="226">
        <f>L344*'DADOS BASE'!$I$29</f>
        <v>2957251.4602659079</v>
      </c>
      <c r="O344" s="228"/>
      <c r="P344" s="227">
        <v>0</v>
      </c>
      <c r="Q344" s="226">
        <f>P344*'DADOS BASE'!$I$33</f>
        <v>0</v>
      </c>
      <c r="R344" s="226"/>
      <c r="S344" s="227">
        <v>104.40099107742</v>
      </c>
      <c r="T344" s="226">
        <f>S344*'DADOS BASE'!$I$37</f>
        <v>82245.942400023123</v>
      </c>
      <c r="U344" s="226"/>
      <c r="V344" s="226">
        <f t="shared" si="239"/>
        <v>82245.942400023123</v>
      </c>
      <c r="W344" s="228"/>
      <c r="X344" s="226"/>
      <c r="Y344" s="226"/>
      <c r="Z344" s="224"/>
      <c r="AA344" s="226"/>
      <c r="AB344" s="226"/>
      <c r="AC344" s="226"/>
      <c r="AD344" s="226"/>
      <c r="AE344" s="227">
        <v>2020</v>
      </c>
      <c r="AF344" s="227">
        <v>1479.0283085712999</v>
      </c>
      <c r="AG344" s="226" t="s">
        <v>155</v>
      </c>
      <c r="AH344" s="229">
        <v>0.78400000000000003</v>
      </c>
      <c r="AI344" s="225">
        <f t="shared" si="240"/>
        <v>1159.5581939198992</v>
      </c>
      <c r="AJ344" s="226">
        <f t="shared" si="241"/>
        <v>8.3184584471373446E-2</v>
      </c>
      <c r="AK344" s="226"/>
      <c r="AL344" s="226">
        <f t="shared" si="242"/>
        <v>164.73006973625897</v>
      </c>
      <c r="AM344" s="228">
        <f t="shared" si="243"/>
        <v>243640.43641285138</v>
      </c>
      <c r="AN344" s="226"/>
      <c r="AO344" s="227">
        <v>1.553281068525</v>
      </c>
      <c r="AP344" s="225"/>
      <c r="AQ344" s="226">
        <f t="shared" si="244"/>
        <v>2297.3466715163522</v>
      </c>
      <c r="AR344" s="226">
        <f t="shared" si="245"/>
        <v>2.4443530611177478E-3</v>
      </c>
      <c r="AS344" s="228">
        <f>AR344*'DADOS BASE'!W$38</f>
        <v>733244.24167957623</v>
      </c>
      <c r="AT344" s="225"/>
      <c r="AU344" s="227">
        <v>91.295301554472999</v>
      </c>
      <c r="AV344" s="227">
        <v>206.75</v>
      </c>
      <c r="AW344" s="226">
        <f t="shared" si="246"/>
        <v>22.82382538861825</v>
      </c>
      <c r="AX344" s="226">
        <f>IF($AW$11&gt;0,(AW344/$AW$11)*'DADOS BASE'!W$40,0)</f>
        <v>4100.9021927793792</v>
      </c>
      <c r="AY344" s="226">
        <f t="shared" si="247"/>
        <v>35.451815887460981</v>
      </c>
      <c r="AZ344" s="226">
        <f t="shared" si="248"/>
        <v>1.8541411551747859E-3</v>
      </c>
      <c r="BA344" s="226">
        <f>AZ344*'DADOS BASE'!W$41</f>
        <v>13698.123723426772</v>
      </c>
      <c r="BB344" s="225"/>
      <c r="BC344" s="227">
        <v>0</v>
      </c>
      <c r="BD344" s="226">
        <f>IF($BC$11&gt;0,(BC344/$BC$11)*'DADOS BASE'!W$39,0)</f>
        <v>0</v>
      </c>
      <c r="BE344" s="187"/>
    </row>
    <row r="345" spans="2:57" x14ac:dyDescent="0.3">
      <c r="B345" s="184" t="s">
        <v>457</v>
      </c>
      <c r="C345" s="184" t="s">
        <v>461</v>
      </c>
      <c r="D345" s="184" t="s">
        <v>94</v>
      </c>
      <c r="E345" s="184">
        <v>2011</v>
      </c>
      <c r="F345" s="185"/>
      <c r="H345" s="186">
        <f ca="1">IF(AND(E345&gt;=2018,SUMIF('DADOS BASE'!$C$101:$D$104,D345,'DADOS BASE'!$H$101:$H$104)&gt;J345),
SUMIF('DADOS BASE'!$C$101:$D$104,D345,'DADOS BASE'!$H$101:$H$104),
J345)</f>
        <v>1868868.2063218448</v>
      </c>
      <c r="J345" s="186">
        <f t="shared" si="237"/>
        <v>1868868.2063218448</v>
      </c>
      <c r="K345" s="186"/>
      <c r="L345" s="188">
        <v>1818.1702230948999</v>
      </c>
      <c r="M345" s="186">
        <f t="shared" si="238"/>
        <v>1.4184521471506545E-3</v>
      </c>
      <c r="N345" s="186">
        <f>L345*'DADOS BASE'!$I$29</f>
        <v>1790417.9105350759</v>
      </c>
      <c r="O345" s="187"/>
      <c r="P345" s="188">
        <v>0</v>
      </c>
      <c r="Q345" s="186">
        <f>P345*'DADOS BASE'!$I$33</f>
        <v>0</v>
      </c>
      <c r="R345" s="186"/>
      <c r="S345" s="188">
        <v>99.582889945134994</v>
      </c>
      <c r="T345" s="186">
        <f>S345*'DADOS BASE'!$I$37</f>
        <v>78450.295786768853</v>
      </c>
      <c r="U345" s="186"/>
      <c r="V345" s="186">
        <f t="shared" si="239"/>
        <v>78450.295786768853</v>
      </c>
      <c r="W345" s="187"/>
      <c r="X345" s="186"/>
      <c r="Y345" s="186"/>
      <c r="Z345" s="185"/>
      <c r="AA345" s="186"/>
      <c r="AB345" s="186"/>
      <c r="AC345" s="186"/>
      <c r="AD345" s="186"/>
      <c r="AE345" s="188">
        <v>1480</v>
      </c>
      <c r="AF345" s="188">
        <v>935.29212224350999</v>
      </c>
      <c r="AG345" s="186" t="s">
        <v>155</v>
      </c>
      <c r="AH345" s="189">
        <v>0.7</v>
      </c>
      <c r="AI345" s="183">
        <f t="shared" si="240"/>
        <v>654.704485570457</v>
      </c>
      <c r="AJ345" s="186">
        <f t="shared" si="241"/>
        <v>-3.0114116827329871E-2</v>
      </c>
      <c r="AK345" s="186"/>
      <c r="AL345" s="186">
        <f t="shared" si="242"/>
        <v>185.08716959501481</v>
      </c>
      <c r="AM345" s="187">
        <f t="shared" si="243"/>
        <v>173110.57165056586</v>
      </c>
      <c r="AN345" s="186"/>
      <c r="AO345" s="188">
        <v>1.7788590604026999</v>
      </c>
      <c r="AQ345" s="186">
        <f t="shared" si="244"/>
        <v>1663.7528657761372</v>
      </c>
      <c r="AR345" s="186">
        <f t="shared" si="245"/>
        <v>1.7702158149771343E-3</v>
      </c>
      <c r="AS345" s="187">
        <f>AR345*'DADOS BASE'!W$38</f>
        <v>531020.07787228387</v>
      </c>
      <c r="AU345" s="188">
        <v>75.889266762944999</v>
      </c>
      <c r="AV345" s="188">
        <v>133.75</v>
      </c>
      <c r="AW345" s="186">
        <f t="shared" si="246"/>
        <v>18.97231669073625</v>
      </c>
      <c r="AX345" s="186">
        <f>IF($AW$11&gt;0,(AW345/$AW$11)*'DADOS BASE'!W$40,0)</f>
        <v>3408.8770744777994</v>
      </c>
      <c r="AY345" s="186">
        <f t="shared" si="247"/>
        <v>33.749077442145548</v>
      </c>
      <c r="AZ345" s="186">
        <f t="shared" si="248"/>
        <v>1.7650873973086246E-3</v>
      </c>
      <c r="BA345" s="186">
        <f>AZ345*'DADOS BASE'!W$41</f>
        <v>13040.207582639867</v>
      </c>
      <c r="BC345" s="188">
        <v>0</v>
      </c>
      <c r="BD345" s="186">
        <f>IF($BC$11&gt;0,(BC345/$BC$11)*'DADOS BASE'!W$39,0)</f>
        <v>0</v>
      </c>
      <c r="BE345" s="187"/>
    </row>
    <row r="346" spans="2:57" x14ac:dyDescent="0.3">
      <c r="B346" s="223" t="s">
        <v>457</v>
      </c>
      <c r="C346" s="223" t="s">
        <v>462</v>
      </c>
      <c r="D346" s="223" t="s">
        <v>94</v>
      </c>
      <c r="E346" s="223">
        <v>2011</v>
      </c>
      <c r="F346" s="224"/>
      <c r="G346" s="225"/>
      <c r="H346" s="226">
        <f ca="1">IF(AND(E346&gt;=2018,SUMIF('DADOS BASE'!$C$101:$D$104,D346,'DADOS BASE'!$H$101:$H$104)&gt;J346),
SUMIF('DADOS BASE'!$C$101:$D$104,D346,'DADOS BASE'!$H$101:$H$104),
J346)</f>
        <v>1804596.8804813006</v>
      </c>
      <c r="I346" s="225"/>
      <c r="J346" s="226">
        <f t="shared" si="237"/>
        <v>1804596.8804813006</v>
      </c>
      <c r="K346" s="226"/>
      <c r="L346" s="227">
        <v>1673.6029510522001</v>
      </c>
      <c r="M346" s="226">
        <f t="shared" si="238"/>
        <v>1.3056674612989506E-3</v>
      </c>
      <c r="N346" s="226">
        <f>L346*'DADOS BASE'!$I$29</f>
        <v>1648057.2944306857</v>
      </c>
      <c r="O346" s="228"/>
      <c r="P346" s="227">
        <v>0</v>
      </c>
      <c r="Q346" s="226">
        <f>P346*'DADOS BASE'!$I$33</f>
        <v>0</v>
      </c>
      <c r="R346" s="226"/>
      <c r="S346" s="227">
        <v>198.70752829417</v>
      </c>
      <c r="T346" s="226">
        <f>S346*'DADOS BASE'!$I$37</f>
        <v>156539.58605061495</v>
      </c>
      <c r="U346" s="226"/>
      <c r="V346" s="226">
        <f t="shared" si="239"/>
        <v>156539.58605061495</v>
      </c>
      <c r="W346" s="228"/>
      <c r="X346" s="226"/>
      <c r="Y346" s="226"/>
      <c r="Z346" s="224"/>
      <c r="AA346" s="226"/>
      <c r="AB346" s="226"/>
      <c r="AC346" s="226"/>
      <c r="AD346" s="226"/>
      <c r="AE346" s="227">
        <v>881</v>
      </c>
      <c r="AF346" s="227">
        <v>737.30958956361997</v>
      </c>
      <c r="AG346" s="226" t="s">
        <v>155</v>
      </c>
      <c r="AH346" s="229">
        <v>0.70299999999999996</v>
      </c>
      <c r="AI346" s="225">
        <f t="shared" si="240"/>
        <v>518.32864146322481</v>
      </c>
      <c r="AJ346" s="226">
        <f t="shared" si="241"/>
        <v>-2.6067734638090465E-2</v>
      </c>
      <c r="AK346" s="226"/>
      <c r="AL346" s="226">
        <f t="shared" si="242"/>
        <v>184.36013031434496</v>
      </c>
      <c r="AM346" s="228">
        <f t="shared" si="243"/>
        <v>135930.49201396518</v>
      </c>
      <c r="AN346" s="226"/>
      <c r="AO346" s="227">
        <v>1.6744942196532</v>
      </c>
      <c r="AP346" s="225"/>
      <c r="AQ346" s="226">
        <f t="shared" si="244"/>
        <v>1234.620645819155</v>
      </c>
      <c r="AR346" s="226">
        <f t="shared" si="245"/>
        <v>1.3136235781669408E-3</v>
      </c>
      <c r="AS346" s="228">
        <f>AR346*'DADOS BASE'!W$38</f>
        <v>394053.9277026442</v>
      </c>
      <c r="AT346" s="225"/>
      <c r="AU346" s="227">
        <v>185.493866</v>
      </c>
      <c r="AV346" s="227">
        <v>243</v>
      </c>
      <c r="AW346" s="226">
        <f t="shared" si="246"/>
        <v>46.373466499999999</v>
      </c>
      <c r="AX346" s="226">
        <f>IF($AW$11&gt;0,(AW346/$AW$11)*'DADOS BASE'!W$40,0)</f>
        <v>8332.2163230124552</v>
      </c>
      <c r="AY346" s="226">
        <f t="shared" si="247"/>
        <v>77.652101599531306</v>
      </c>
      <c r="AZ346" s="226">
        <f t="shared" si="248"/>
        <v>4.061229411168996E-3</v>
      </c>
      <c r="BA346" s="226">
        <f>AZ346*'DADOS BASE'!W$41</f>
        <v>30003.769016263665</v>
      </c>
      <c r="BB346" s="225"/>
      <c r="BC346" s="227">
        <v>0</v>
      </c>
      <c r="BD346" s="226">
        <f>IF($BC$11&gt;0,(BC346/$BC$11)*'DADOS BASE'!W$39,0)</f>
        <v>0</v>
      </c>
      <c r="BE346" s="187"/>
    </row>
    <row r="347" spans="2:57" x14ac:dyDescent="0.3">
      <c r="B347" s="184" t="s">
        <v>457</v>
      </c>
      <c r="C347" s="184" t="s">
        <v>463</v>
      </c>
      <c r="D347" s="184" t="s">
        <v>94</v>
      </c>
      <c r="E347" s="184">
        <v>2016</v>
      </c>
      <c r="F347" s="185"/>
      <c r="H347" s="186">
        <f ca="1">IF(AND(E347&gt;=2018,SUMIF('DADOS BASE'!$C$101:$D$104,D347,'DADOS BASE'!$H$101:$H$104)&gt;J347),
SUMIF('DADOS BASE'!$C$101:$D$104,D347,'DADOS BASE'!$H$101:$H$104),
J347)</f>
        <v>1336493.6103744945</v>
      </c>
      <c r="J347" s="186">
        <f t="shared" si="237"/>
        <v>1336493.6103744945</v>
      </c>
      <c r="K347" s="186"/>
      <c r="L347" s="188">
        <v>1151.1041358118</v>
      </c>
      <c r="M347" s="186">
        <f t="shared" si="238"/>
        <v>8.9803810022634077E-4</v>
      </c>
      <c r="N347" s="186">
        <f>L347*'DADOS BASE'!$I$29</f>
        <v>1133533.8327894697</v>
      </c>
      <c r="O347" s="187"/>
      <c r="P347" s="188">
        <v>0</v>
      </c>
      <c r="Q347" s="186">
        <f>P347*'DADOS BASE'!$I$33</f>
        <v>0</v>
      </c>
      <c r="R347" s="186"/>
      <c r="S347" s="188">
        <v>257.63218598275</v>
      </c>
      <c r="T347" s="186">
        <f>S347*'DADOS BASE'!$I$37</f>
        <v>202959.7775850246</v>
      </c>
      <c r="U347" s="186"/>
      <c r="V347" s="186">
        <f t="shared" si="239"/>
        <v>202959.7775850246</v>
      </c>
      <c r="W347" s="187"/>
      <c r="X347" s="186"/>
      <c r="Y347" s="186"/>
      <c r="Z347" s="185"/>
      <c r="AA347" s="186"/>
      <c r="AB347" s="186"/>
      <c r="AC347" s="186"/>
      <c r="AD347" s="186"/>
      <c r="AE347" s="188">
        <v>988</v>
      </c>
      <c r="AF347" s="188">
        <v>727.79692099354997</v>
      </c>
      <c r="AG347" s="186" t="s">
        <v>155</v>
      </c>
      <c r="AH347" s="189">
        <v>0.747</v>
      </c>
      <c r="AI347" s="183">
        <f t="shared" si="240"/>
        <v>543.66429998218177</v>
      </c>
      <c r="AJ347" s="186">
        <f t="shared" si="241"/>
        <v>3.327920413742079E-2</v>
      </c>
      <c r="AK347" s="186"/>
      <c r="AL347" s="186">
        <f t="shared" si="242"/>
        <v>173.69688753118714</v>
      </c>
      <c r="AM347" s="187">
        <f t="shared" si="243"/>
        <v>126416.05993136094</v>
      </c>
      <c r="AN347" s="186"/>
      <c r="AO347" s="188">
        <v>0.35855263157895001</v>
      </c>
      <c r="AQ347" s="186">
        <f t="shared" si="244"/>
        <v>260.95350127729449</v>
      </c>
      <c r="AR347" s="186">
        <f t="shared" si="245"/>
        <v>2.7765182223696825E-4</v>
      </c>
      <c r="AS347" s="187">
        <f>AR347*'DADOS BASE'!W$38</f>
        <v>83288.540876334242</v>
      </c>
      <c r="AU347" s="188">
        <v>257.63218598275</v>
      </c>
      <c r="AV347" s="188">
        <v>576</v>
      </c>
      <c r="AW347" s="186">
        <f t="shared" si="246"/>
        <v>64.408046495687501</v>
      </c>
      <c r="AX347" s="186">
        <f>IF($AW$11&gt;0,(AW347/$AW$11)*'DADOS BASE'!W$40,0)</f>
        <v>11572.604268104749</v>
      </c>
      <c r="AY347" s="186">
        <f t="shared" si="247"/>
        <v>23.093674565888122</v>
      </c>
      <c r="AZ347" s="186">
        <f t="shared" si="248"/>
        <v>1.2078064653373956E-3</v>
      </c>
      <c r="BA347" s="186">
        <f>AZ347*'DADOS BASE'!W$41</f>
        <v>8923.0975484101054</v>
      </c>
      <c r="BC347" s="188">
        <v>0</v>
      </c>
      <c r="BD347" s="186">
        <f>IF($BC$11&gt;0,(BC347/$BC$11)*'DADOS BASE'!W$39,0)</f>
        <v>0</v>
      </c>
      <c r="BE347" s="187"/>
    </row>
    <row r="348" spans="2:57" x14ac:dyDescent="0.3">
      <c r="B348" s="223" t="s">
        <v>457</v>
      </c>
      <c r="C348" s="223" t="s">
        <v>464</v>
      </c>
      <c r="D348" s="223" t="s">
        <v>94</v>
      </c>
      <c r="E348" s="223">
        <v>2016</v>
      </c>
      <c r="F348" s="224"/>
      <c r="G348" s="225"/>
      <c r="H348" s="226">
        <f ca="1">IF(AND(E348&gt;=2018,SUMIF('DADOS BASE'!$C$101:$D$104,D348,'DADOS BASE'!$H$101:$H$104)&gt;J348),
SUMIF('DADOS BASE'!$C$101:$D$104,D348,'DADOS BASE'!$H$101:$H$104),
J348)</f>
        <v>1344493.2668919587</v>
      </c>
      <c r="I348" s="225"/>
      <c r="J348" s="226">
        <f t="shared" si="237"/>
        <v>1344493.2668919587</v>
      </c>
      <c r="K348" s="226"/>
      <c r="L348" s="227">
        <v>1335.6795003454999</v>
      </c>
      <c r="M348" s="226">
        <f t="shared" si="238"/>
        <v>1.0420352457126884E-3</v>
      </c>
      <c r="N348" s="226">
        <f>L348*'DADOS BASE'!$I$29</f>
        <v>1315291.8630921298</v>
      </c>
      <c r="O348" s="228"/>
      <c r="P348" s="227">
        <v>0</v>
      </c>
      <c r="Q348" s="226">
        <f>P348*'DADOS BASE'!$I$33</f>
        <v>0</v>
      </c>
      <c r="R348" s="226"/>
      <c r="S348" s="227">
        <v>37.067548970697999</v>
      </c>
      <c r="T348" s="226">
        <f>S348*'DADOS BASE'!$I$37</f>
        <v>29201.403799828789</v>
      </c>
      <c r="U348" s="226"/>
      <c r="V348" s="226">
        <f t="shared" si="239"/>
        <v>29201.403799828789</v>
      </c>
      <c r="W348" s="228"/>
      <c r="X348" s="226"/>
      <c r="Y348" s="226"/>
      <c r="Z348" s="224"/>
      <c r="AA348" s="226"/>
      <c r="AB348" s="226"/>
      <c r="AC348" s="226"/>
      <c r="AD348" s="226"/>
      <c r="AE348" s="227">
        <v>722</v>
      </c>
      <c r="AF348" s="227">
        <v>608.00676972733004</v>
      </c>
      <c r="AG348" s="226" t="s">
        <v>155</v>
      </c>
      <c r="AH348" s="229">
        <v>0.71199999999999997</v>
      </c>
      <c r="AI348" s="225">
        <f t="shared" si="240"/>
        <v>432.90082004585895</v>
      </c>
      <c r="AJ348" s="226">
        <f t="shared" si="241"/>
        <v>-1.3928588070372254E-2</v>
      </c>
      <c r="AK348" s="226"/>
      <c r="AL348" s="226">
        <f t="shared" si="242"/>
        <v>182.17901247233542</v>
      </c>
      <c r="AM348" s="228">
        <f t="shared" si="243"/>
        <v>110766.07288541962</v>
      </c>
      <c r="AN348" s="226"/>
      <c r="AO348" s="227">
        <v>1.583392476934</v>
      </c>
      <c r="AP348" s="225"/>
      <c r="AQ348" s="226">
        <f t="shared" si="244"/>
        <v>962.71334511119721</v>
      </c>
      <c r="AR348" s="226">
        <f t="shared" si="245"/>
        <v>1.0243170268021571E-3</v>
      </c>
      <c r="AS348" s="228">
        <f>AR348*'DADOS BASE'!W$38</f>
        <v>307269.26216361573</v>
      </c>
      <c r="AT348" s="225"/>
      <c r="AU348" s="227">
        <v>28.991298012485998</v>
      </c>
      <c r="AV348" s="227">
        <v>76.25</v>
      </c>
      <c r="AW348" s="226">
        <f t="shared" si="246"/>
        <v>7.2478245031214996</v>
      </c>
      <c r="AX348" s="226">
        <f>IF($AW$11&gt;0,(AW348/$AW$11)*'DADOS BASE'!W$40,0)</f>
        <v>1302.2628280600632</v>
      </c>
      <c r="AY348" s="226">
        <f t="shared" si="247"/>
        <v>11.476150792380489</v>
      </c>
      <c r="AZ348" s="226">
        <f t="shared" si="248"/>
        <v>6.0020630691220512E-4</v>
      </c>
      <c r="BA348" s="226">
        <f>AZ348*'DADOS BASE'!W$41</f>
        <v>4434.2364273174253</v>
      </c>
      <c r="BB348" s="225"/>
      <c r="BC348" s="227">
        <v>0</v>
      </c>
      <c r="BD348" s="226">
        <f>IF($BC$11&gt;0,(BC348/$BC$11)*'DADOS BASE'!W$39,0)</f>
        <v>0</v>
      </c>
      <c r="BE348" s="187"/>
    </row>
    <row r="349" spans="2:57" x14ac:dyDescent="0.3">
      <c r="B349" s="184" t="s">
        <v>457</v>
      </c>
      <c r="C349" s="184" t="s">
        <v>465</v>
      </c>
      <c r="D349" s="184" t="s">
        <v>92</v>
      </c>
      <c r="E349" s="184">
        <v>2016</v>
      </c>
      <c r="F349" s="185"/>
      <c r="H349" s="186">
        <f ca="1">IF(AND(E349&gt;=2018,SUMIF('DADOS BASE'!$C$101:$D$104,D349,'DADOS BASE'!$H$101:$H$104)&gt;J349),
SUMIF('DADOS BASE'!$C$101:$D$104,D349,'DADOS BASE'!$H$101:$H$104),
J349)</f>
        <v>2176744.435838446</v>
      </c>
      <c r="J349" s="186">
        <f t="shared" si="237"/>
        <v>2176744.435838446</v>
      </c>
      <c r="K349" s="186"/>
      <c r="L349" s="188">
        <v>2172.9746995378</v>
      </c>
      <c r="M349" s="186">
        <f t="shared" si="238"/>
        <v>1.6952541566855046E-3</v>
      </c>
      <c r="N349" s="186">
        <f>L349*'DADOS BASE'!$I$29</f>
        <v>2139806.6978401858</v>
      </c>
      <c r="O349" s="187"/>
      <c r="P349" s="188">
        <v>0</v>
      </c>
      <c r="Q349" s="186">
        <f>P349*'DADOS BASE'!$I$33</f>
        <v>0</v>
      </c>
      <c r="R349" s="186"/>
      <c r="S349" s="188">
        <v>46.887862703551001</v>
      </c>
      <c r="T349" s="186">
        <f>S349*'DADOS BASE'!$I$37</f>
        <v>36937.737998260272</v>
      </c>
      <c r="U349" s="186"/>
      <c r="V349" s="186">
        <f t="shared" si="239"/>
        <v>36937.737998260272</v>
      </c>
      <c r="W349" s="187"/>
      <c r="X349" s="186"/>
      <c r="Y349" s="186"/>
      <c r="Z349" s="185"/>
      <c r="AA349" s="186"/>
      <c r="AB349" s="186"/>
      <c r="AC349" s="186"/>
      <c r="AD349" s="186"/>
      <c r="AE349" s="188">
        <v>903</v>
      </c>
      <c r="AF349" s="188">
        <v>807.71948072913005</v>
      </c>
      <c r="AG349" s="186" t="s">
        <v>155</v>
      </c>
      <c r="AH349" s="189">
        <v>0.7</v>
      </c>
      <c r="AI349" s="183">
        <f t="shared" si="240"/>
        <v>565.40363651039104</v>
      </c>
      <c r="AJ349" s="186">
        <f t="shared" si="241"/>
        <v>-3.0114116827329871E-2</v>
      </c>
      <c r="AK349" s="186"/>
      <c r="AL349" s="186">
        <f t="shared" si="242"/>
        <v>185.08716959501481</v>
      </c>
      <c r="AM349" s="187">
        <f t="shared" si="243"/>
        <v>149498.51251490979</v>
      </c>
      <c r="AN349" s="186"/>
      <c r="AO349" s="188">
        <v>1.7653142402546</v>
      </c>
      <c r="AQ349" s="186">
        <f t="shared" si="244"/>
        <v>1425.8787014621844</v>
      </c>
      <c r="AR349" s="186">
        <f t="shared" si="245"/>
        <v>1.5171201681987339E-3</v>
      </c>
      <c r="AS349" s="187">
        <f>AR349*'DADOS BASE'!W$38</f>
        <v>455097.77002467361</v>
      </c>
      <c r="AU349" s="188">
        <v>46.887862703551001</v>
      </c>
      <c r="AV349" s="188">
        <v>137.25</v>
      </c>
      <c r="AW349" s="186">
        <f t="shared" si="246"/>
        <v>11.72196567588775</v>
      </c>
      <c r="AX349" s="186">
        <f>IF($AW$11&gt;0,(AW349/$AW$11)*'DADOS BASE'!W$40,0)</f>
        <v>2106.1602919510801</v>
      </c>
      <c r="AY349" s="186">
        <f t="shared" si="247"/>
        <v>20.692952931420283</v>
      </c>
      <c r="AZ349" s="186">
        <f t="shared" si="248"/>
        <v>1.0822479664803688E-3</v>
      </c>
      <c r="BA349" s="186">
        <f>AZ349*'DADOS BASE'!W$41</f>
        <v>7995.4897192698481</v>
      </c>
      <c r="BC349" s="188">
        <v>0</v>
      </c>
      <c r="BD349" s="186">
        <f>IF($BC$11&gt;0,(BC349/$BC$11)*'DADOS BASE'!W$39,0)</f>
        <v>0</v>
      </c>
      <c r="BE349" s="187"/>
    </row>
    <row r="350" spans="2:57" x14ac:dyDescent="0.3">
      <c r="B350" s="223" t="s">
        <v>457</v>
      </c>
      <c r="C350" s="223" t="s">
        <v>466</v>
      </c>
      <c r="D350" s="223" t="s">
        <v>92</v>
      </c>
      <c r="E350" s="223">
        <v>2010</v>
      </c>
      <c r="F350" s="224"/>
      <c r="G350" s="225"/>
      <c r="H350" s="226">
        <f ca="1">IF(AND(E350&gt;=2018,SUMIF('DADOS BASE'!$C$101:$D$104,D350,'DADOS BASE'!$H$101:$H$104)&gt;J350),
SUMIF('DADOS BASE'!$C$101:$D$104,D350,'DADOS BASE'!$H$101:$H$104),
J350)</f>
        <v>2272660.6724526002</v>
      </c>
      <c r="I350" s="225"/>
      <c r="J350" s="226">
        <f t="shared" si="237"/>
        <v>2272660.6724526002</v>
      </c>
      <c r="K350" s="226"/>
      <c r="L350" s="227">
        <v>2283.1629154328002</v>
      </c>
      <c r="M350" s="226">
        <f t="shared" si="238"/>
        <v>1.7812178961867015E-3</v>
      </c>
      <c r="N350" s="226">
        <f>L350*'DADOS BASE'!$I$29</f>
        <v>2248313.0152148586</v>
      </c>
      <c r="O350" s="228"/>
      <c r="P350" s="227">
        <v>0</v>
      </c>
      <c r="Q350" s="226">
        <f>P350*'DADOS BASE'!$I$33</f>
        <v>0</v>
      </c>
      <c r="R350" s="226"/>
      <c r="S350" s="227">
        <v>30.906321599068001</v>
      </c>
      <c r="T350" s="226">
        <f>S350*'DADOS BASE'!$I$37</f>
        <v>24347.657237741561</v>
      </c>
      <c r="U350" s="226"/>
      <c r="V350" s="226">
        <f t="shared" si="239"/>
        <v>24347.657237741561</v>
      </c>
      <c r="W350" s="228"/>
      <c r="X350" s="226"/>
      <c r="Y350" s="226"/>
      <c r="Z350" s="224"/>
      <c r="AA350" s="226"/>
      <c r="AB350" s="226"/>
      <c r="AC350" s="226"/>
      <c r="AD350" s="226"/>
      <c r="AE350" s="227">
        <v>1024</v>
      </c>
      <c r="AF350" s="227">
        <v>819.19151197562996</v>
      </c>
      <c r="AG350" s="226" t="s">
        <v>155</v>
      </c>
      <c r="AH350" s="229">
        <v>0.72099999999999997</v>
      </c>
      <c r="AI350" s="225">
        <f t="shared" si="240"/>
        <v>590.6370801344292</v>
      </c>
      <c r="AJ350" s="226">
        <f t="shared" si="241"/>
        <v>-1.7894415026540422E-3</v>
      </c>
      <c r="AK350" s="226"/>
      <c r="AL350" s="226">
        <f t="shared" si="242"/>
        <v>179.99789463032585</v>
      </c>
      <c r="AM350" s="228">
        <f t="shared" si="243"/>
        <v>147452.74745464674</v>
      </c>
      <c r="AN350" s="226"/>
      <c r="AO350" s="227">
        <v>1.7192439862543001</v>
      </c>
      <c r="AP350" s="225"/>
      <c r="AQ350" s="226">
        <f t="shared" si="244"/>
        <v>1408.3900805546693</v>
      </c>
      <c r="AR350" s="226">
        <f t="shared" si="245"/>
        <v>1.4985124567113786E-3</v>
      </c>
      <c r="AS350" s="228">
        <f>AR350*'DADOS BASE'!W$38</f>
        <v>449515.9260938713</v>
      </c>
      <c r="AT350" s="225"/>
      <c r="AU350" s="227">
        <v>30.906321599068001</v>
      </c>
      <c r="AV350" s="227">
        <v>97.75</v>
      </c>
      <c r="AW350" s="226">
        <f t="shared" si="246"/>
        <v>7.7265803997670002</v>
      </c>
      <c r="AX350" s="226">
        <f>IF($AW$11&gt;0,(AW350/$AW$11)*'DADOS BASE'!W$40,0)</f>
        <v>1388.2839517293085</v>
      </c>
      <c r="AY350" s="226">
        <f t="shared" si="247"/>
        <v>13.283876886609761</v>
      </c>
      <c r="AZ350" s="226">
        <f t="shared" si="248"/>
        <v>6.9475095193783168E-4</v>
      </c>
      <c r="BA350" s="226">
        <f>AZ350*'DADOS BASE'!W$41</f>
        <v>5132.7184395061968</v>
      </c>
      <c r="BB350" s="225"/>
      <c r="BC350" s="227">
        <v>40.5</v>
      </c>
      <c r="BD350" s="226">
        <f>IF($BC$11&gt;0,(BC350/$BC$11)*'DADOS BASE'!W$39,0)</f>
        <v>218829.76250681654</v>
      </c>
      <c r="BE350" s="187"/>
    </row>
    <row r="351" spans="2:57" x14ac:dyDescent="0.3">
      <c r="B351" s="184" t="s">
        <v>457</v>
      </c>
      <c r="C351" s="184" t="s">
        <v>467</v>
      </c>
      <c r="D351" s="184" t="s">
        <v>92</v>
      </c>
      <c r="E351" s="184">
        <v>2011</v>
      </c>
      <c r="F351" s="185"/>
      <c r="H351" s="186">
        <f ca="1">IF(AND(E351&gt;=2018,SUMIF('DADOS BASE'!$C$101:$D$104,D351,'DADOS BASE'!$H$101:$H$104)&gt;J351),
SUMIF('DADOS BASE'!$C$101:$D$104,D351,'DADOS BASE'!$H$101:$H$104),
J351)</f>
        <v>3028744.014312502</v>
      </c>
      <c r="J351" s="186">
        <f t="shared" si="237"/>
        <v>3028744.014312502</v>
      </c>
      <c r="K351" s="186"/>
      <c r="L351" s="188">
        <v>3035.5813273304998</v>
      </c>
      <c r="M351" s="186">
        <f t="shared" si="238"/>
        <v>2.3682198712246961E-3</v>
      </c>
      <c r="N351" s="186">
        <f>L351*'DADOS BASE'!$I$29</f>
        <v>2989246.6108519514</v>
      </c>
      <c r="O351" s="187"/>
      <c r="P351" s="188">
        <v>0</v>
      </c>
      <c r="Q351" s="186">
        <f>P351*'DADOS BASE'!$I$33</f>
        <v>0</v>
      </c>
      <c r="R351" s="186"/>
      <c r="S351" s="188">
        <v>50.137039541843997</v>
      </c>
      <c r="T351" s="186">
        <f>S351*'DADOS BASE'!$I$37</f>
        <v>39497.403460550428</v>
      </c>
      <c r="U351" s="186"/>
      <c r="V351" s="186">
        <f t="shared" si="239"/>
        <v>39497.403460550428</v>
      </c>
      <c r="W351" s="187"/>
      <c r="X351" s="186"/>
      <c r="Y351" s="186"/>
      <c r="Z351" s="185"/>
      <c r="AA351" s="186"/>
      <c r="AB351" s="186"/>
      <c r="AC351" s="186"/>
      <c r="AD351" s="186"/>
      <c r="AE351" s="188">
        <v>1487</v>
      </c>
      <c r="AF351" s="188">
        <v>1086.998299071</v>
      </c>
      <c r="AG351" s="186" t="s">
        <v>155</v>
      </c>
      <c r="AH351" s="189">
        <v>0.70099999999999996</v>
      </c>
      <c r="AI351" s="183">
        <f t="shared" si="240"/>
        <v>761.98580764877102</v>
      </c>
      <c r="AJ351" s="186">
        <f t="shared" si="241"/>
        <v>-2.8765322764250069E-2</v>
      </c>
      <c r="AK351" s="186"/>
      <c r="AL351" s="186">
        <f t="shared" si="242"/>
        <v>184.84482316812486</v>
      </c>
      <c r="AM351" s="187">
        <f t="shared" si="243"/>
        <v>200926.0083758315</v>
      </c>
      <c r="AN351" s="186"/>
      <c r="AO351" s="188">
        <v>1.7933902877698</v>
      </c>
      <c r="AQ351" s="186">
        <f t="shared" si="244"/>
        <v>1949.4121923762239</v>
      </c>
      <c r="AR351" s="186">
        <f t="shared" si="245"/>
        <v>2.0741543794389264E-3</v>
      </c>
      <c r="AS351" s="187">
        <f>AR351*'DADOS BASE'!W$38</f>
        <v>622193.97814103484</v>
      </c>
      <c r="AU351" s="188">
        <v>50.137039541843997</v>
      </c>
      <c r="AV351" s="188">
        <v>184</v>
      </c>
      <c r="AW351" s="186">
        <f t="shared" si="246"/>
        <v>12.534259885460999</v>
      </c>
      <c r="AX351" s="186">
        <f>IF($AW$11&gt;0,(AW351/$AW$11)*'DADOS BASE'!W$40,0)</f>
        <v>2252.1103703670365</v>
      </c>
      <c r="AY351" s="186">
        <f t="shared" si="247"/>
        <v>22.478819942968361</v>
      </c>
      <c r="AZ351" s="186">
        <f t="shared" si="248"/>
        <v>1.1756493745857138E-3</v>
      </c>
      <c r="BA351" s="186">
        <f>AZ351*'DADOS BASE'!W$41</f>
        <v>8685.5256642670793</v>
      </c>
      <c r="BC351" s="188">
        <v>0</v>
      </c>
      <c r="BD351" s="186">
        <f>IF($BC$11&gt;0,(BC351/$BC$11)*'DADOS BASE'!W$39,0)</f>
        <v>0</v>
      </c>
      <c r="BE351" s="187"/>
    </row>
    <row r="352" spans="2:57" x14ac:dyDescent="0.3">
      <c r="B352" s="223" t="s">
        <v>457</v>
      </c>
      <c r="C352" s="223" t="s">
        <v>468</v>
      </c>
      <c r="D352" s="223" t="s">
        <v>94</v>
      </c>
      <c r="E352" s="223">
        <v>2011</v>
      </c>
      <c r="F352" s="224"/>
      <c r="G352" s="225"/>
      <c r="H352" s="226">
        <f ca="1">IF(AND(E352&gt;=2018,SUMIF('DADOS BASE'!$C$101:$D$104,D352,'DADOS BASE'!$H$101:$H$104)&gt;J352),
SUMIF('DADOS BASE'!$C$101:$D$104,D352,'DADOS BASE'!$H$101:$H$104),
J352)</f>
        <v>2164640.0100424108</v>
      </c>
      <c r="I352" s="225"/>
      <c r="J352" s="226">
        <f t="shared" si="237"/>
        <v>2164640.0100424108</v>
      </c>
      <c r="K352" s="226"/>
      <c r="L352" s="227">
        <v>2116.2943302436001</v>
      </c>
      <c r="M352" s="226">
        <f t="shared" si="238"/>
        <v>1.6510347593455816E-3</v>
      </c>
      <c r="N352" s="226">
        <f>L352*'DADOS BASE'!$I$29</f>
        <v>2083991.4902919426</v>
      </c>
      <c r="O352" s="228"/>
      <c r="P352" s="227">
        <v>0</v>
      </c>
      <c r="Q352" s="226">
        <f>P352*'DADOS BASE'!$I$33</f>
        <v>0</v>
      </c>
      <c r="R352" s="226"/>
      <c r="S352" s="227">
        <v>102.37326177046</v>
      </c>
      <c r="T352" s="226">
        <f>S352*'DADOS BASE'!$I$37</f>
        <v>80648.519750468025</v>
      </c>
      <c r="U352" s="226"/>
      <c r="V352" s="226">
        <f t="shared" si="239"/>
        <v>80648.519750468025</v>
      </c>
      <c r="W352" s="228"/>
      <c r="X352" s="226"/>
      <c r="Y352" s="226"/>
      <c r="Z352" s="224"/>
      <c r="AA352" s="226"/>
      <c r="AB352" s="226"/>
      <c r="AC352" s="226"/>
      <c r="AD352" s="226"/>
      <c r="AE352" s="227">
        <v>1347</v>
      </c>
      <c r="AF352" s="227">
        <v>1022.3510919785</v>
      </c>
      <c r="AG352" s="226" t="s">
        <v>155</v>
      </c>
      <c r="AH352" s="229">
        <v>0.74399999999999999</v>
      </c>
      <c r="AI352" s="225">
        <f t="shared" si="240"/>
        <v>760.62921243200401</v>
      </c>
      <c r="AJ352" s="226">
        <f t="shared" si="241"/>
        <v>2.9232821948181387E-2</v>
      </c>
      <c r="AK352" s="226"/>
      <c r="AL352" s="226">
        <f t="shared" si="242"/>
        <v>174.423926811857</v>
      </c>
      <c r="AM352" s="228">
        <f t="shared" si="243"/>
        <v>178322.49204327996</v>
      </c>
      <c r="AN352" s="226"/>
      <c r="AO352" s="227">
        <v>1.6726434426229999</v>
      </c>
      <c r="AP352" s="225"/>
      <c r="AQ352" s="226">
        <f t="shared" si="244"/>
        <v>1710.0288500563015</v>
      </c>
      <c r="AR352" s="226">
        <f t="shared" si="245"/>
        <v>1.8194529828951984E-3</v>
      </c>
      <c r="AS352" s="228">
        <f>AR352*'DADOS BASE'!W$38</f>
        <v>545789.98588059004</v>
      </c>
      <c r="AT352" s="225"/>
      <c r="AU352" s="227">
        <v>94.327762748935001</v>
      </c>
      <c r="AV352" s="227">
        <v>151</v>
      </c>
      <c r="AW352" s="226">
        <f t="shared" si="246"/>
        <v>23.58194068723375</v>
      </c>
      <c r="AX352" s="226">
        <f>IF($AW$11&gt;0,(AW352/$AW$11)*'DADOS BASE'!W$40,0)</f>
        <v>4237.1176009125957</v>
      </c>
      <c r="AY352" s="226">
        <f t="shared" si="247"/>
        <v>39.444178454826051</v>
      </c>
      <c r="AZ352" s="226">
        <f t="shared" si="248"/>
        <v>2.0629429769497042E-3</v>
      </c>
      <c r="BA352" s="226">
        <f>AZ352*'DADOS BASE'!W$41</f>
        <v>15240.72104961584</v>
      </c>
      <c r="BB352" s="225"/>
      <c r="BC352" s="227">
        <v>0</v>
      </c>
      <c r="BD352" s="226">
        <f>IF($BC$11&gt;0,(BC352/$BC$11)*'DADOS BASE'!W$39,0)</f>
        <v>0</v>
      </c>
      <c r="BE352" s="187"/>
    </row>
    <row r="353" spans="2:57" x14ac:dyDescent="0.3">
      <c r="F353" s="185"/>
      <c r="H353" s="186"/>
      <c r="J353" s="186"/>
      <c r="K353" s="186"/>
      <c r="L353" s="186"/>
      <c r="M353" s="186"/>
      <c r="N353" s="186"/>
      <c r="O353" s="187"/>
      <c r="P353" s="186"/>
      <c r="Q353" s="186"/>
      <c r="R353" s="186"/>
      <c r="S353" s="186"/>
      <c r="T353" s="186"/>
      <c r="U353" s="186"/>
      <c r="V353" s="186"/>
      <c r="W353" s="187"/>
      <c r="X353" s="186"/>
      <c r="Y353" s="186"/>
      <c r="Z353" s="185"/>
      <c r="AA353" s="186"/>
      <c r="AB353" s="186"/>
      <c r="AC353" s="186"/>
      <c r="AD353" s="186"/>
      <c r="AE353" s="186"/>
      <c r="AF353" s="186"/>
      <c r="AG353" s="186"/>
      <c r="AH353" s="185"/>
      <c r="AJ353" s="186"/>
      <c r="AK353" s="186"/>
      <c r="AL353" s="186"/>
      <c r="AM353" s="187"/>
      <c r="AN353" s="186"/>
      <c r="AO353" s="186"/>
      <c r="AQ353" s="186"/>
      <c r="AR353" s="186"/>
      <c r="AS353" s="187"/>
      <c r="AU353" s="186"/>
      <c r="AV353" s="186"/>
      <c r="AW353" s="186"/>
      <c r="AX353" s="186"/>
      <c r="AY353" s="186"/>
      <c r="AZ353" s="186"/>
      <c r="BA353" s="186"/>
      <c r="BC353" s="186"/>
      <c r="BD353" s="186"/>
      <c r="BE353" s="187"/>
    </row>
    <row r="354" spans="2:57" x14ac:dyDescent="0.3">
      <c r="B354" s="209" t="s">
        <v>469</v>
      </c>
      <c r="C354" s="209" t="s">
        <v>470</v>
      </c>
      <c r="D354" s="211" t="s">
        <v>154</v>
      </c>
      <c r="E354" s="211"/>
      <c r="F354" s="210"/>
      <c r="G354" s="211"/>
      <c r="H354" s="212">
        <f ca="1">SUM(H355:H374)</f>
        <v>47697471.720120825</v>
      </c>
      <c r="I354" s="211"/>
      <c r="J354" s="212">
        <f>SUM(J355:J374)</f>
        <v>47697471.720120825</v>
      </c>
      <c r="K354" s="212"/>
      <c r="L354" s="212">
        <f>SUM(L355:L374)</f>
        <v>46944.15794130796</v>
      </c>
      <c r="M354" s="212">
        <f>SUM(M355:M374)</f>
        <v>3.6623656455379162E-2</v>
      </c>
      <c r="N354" s="212">
        <f>SUM(N355:N374)</f>
        <v>46227608.452433765</v>
      </c>
      <c r="O354" s="214"/>
      <c r="P354" s="212">
        <f>SUM(P355:P374)</f>
        <v>2785.1799183371299</v>
      </c>
      <c r="Q354" s="212">
        <f>SUM(Q355:Q374)</f>
        <v>685666.82405637682</v>
      </c>
      <c r="R354" s="212"/>
      <c r="S354" s="212">
        <f>SUM(S355:S374)</f>
        <v>995.43981776306794</v>
      </c>
      <c r="T354" s="212">
        <f>SUM(T355:T374)</f>
        <v>784196.44363067695</v>
      </c>
      <c r="U354" s="212"/>
      <c r="V354" s="212">
        <f>SUM(V355:V374)</f>
        <v>1469863.2676870537</v>
      </c>
      <c r="W354" s="214"/>
      <c r="X354" s="212">
        <f>SUMIF(INDICADORES!$D$13:$D$53,C354,INDICADORES!$L$13:$L$53)</f>
        <v>3.9292875407001347E-2</v>
      </c>
      <c r="Y354" s="212">
        <f>X354*'DADOS BASE'!$I$79</f>
        <v>1631566.5737291074</v>
      </c>
      <c r="Z354" s="210">
        <f>SUMIF(INDICADORES!$D$13:$D$53,C354,INDICADORES!$R$13:$R$53)</f>
        <v>3.3383001891225852E-2</v>
      </c>
      <c r="AA354" s="212">
        <f>Z354*'DADOS BASE'!$I$84</f>
        <v>1386169.6160509195</v>
      </c>
      <c r="AB354" s="212">
        <f>SUMIF(INDICADORES!$D$13:$D$53,C354,INDICADORES!$Z$13:$Z$53)</f>
        <v>1.4106436618298634E-2</v>
      </c>
      <c r="AC354" s="212">
        <f>AB354*'DADOS BASE'!$I$89</f>
        <v>1171489.2444213089</v>
      </c>
      <c r="AD354" s="212"/>
      <c r="AE354" s="212">
        <f>SUM(AE355:AE374)</f>
        <v>22424</v>
      </c>
      <c r="AF354" s="212">
        <f>SUM(AF355:AF374)</f>
        <v>18936.176495485823</v>
      </c>
      <c r="AG354" s="212" t="s">
        <v>155</v>
      </c>
      <c r="AH354" s="210"/>
      <c r="AI354" s="211"/>
      <c r="AJ354" s="212"/>
      <c r="AK354" s="212"/>
      <c r="AL354" s="212"/>
      <c r="AM354" s="214">
        <f>SUM(AM355:AM374)</f>
        <v>3351847.7834169562</v>
      </c>
      <c r="AN354" s="212"/>
      <c r="AO354" s="212"/>
      <c r="AP354" s="211"/>
      <c r="AQ354" s="212">
        <f>SUM(AQ355:AQ374)</f>
        <v>26487.826719713168</v>
      </c>
      <c r="AR354" s="212"/>
      <c r="AS354" s="214">
        <f>SUM(AS355:AS374)</f>
        <v>8454120.8593549654</v>
      </c>
      <c r="AT354" s="211"/>
      <c r="AU354" s="212">
        <f t="shared" ref="AU354:BA354" si="249">SUM(AU355:AU374)</f>
        <v>403.03579240608815</v>
      </c>
      <c r="AV354" s="212">
        <f t="shared" si="249"/>
        <v>1092.75</v>
      </c>
      <c r="AW354" s="212">
        <f t="shared" si="249"/>
        <v>100.75894810152204</v>
      </c>
      <c r="AX354" s="212">
        <f t="shared" si="249"/>
        <v>18104.002470056159</v>
      </c>
      <c r="AY354" s="212">
        <f t="shared" si="249"/>
        <v>38.560927399255874</v>
      </c>
      <c r="AZ354" s="212">
        <f t="shared" si="249"/>
        <v>2.016748668097292E-3</v>
      </c>
      <c r="BA354" s="212">
        <f t="shared" si="249"/>
        <v>14899.444250806591</v>
      </c>
      <c r="BB354" s="211"/>
      <c r="BC354" s="212">
        <f>SUM(BC355:BC374)</f>
        <v>810.5</v>
      </c>
      <c r="BD354" s="212">
        <f>SUM(BD355:BD374)</f>
        <v>4379296.8521425873</v>
      </c>
      <c r="BE354" s="187"/>
    </row>
    <row r="355" spans="2:57" x14ac:dyDescent="0.3">
      <c r="B355" s="216" t="s">
        <v>469</v>
      </c>
      <c r="C355" s="218" t="s">
        <v>156</v>
      </c>
      <c r="D355" s="218" t="s">
        <v>157</v>
      </c>
      <c r="E355" s="218"/>
      <c r="F355" s="217"/>
      <c r="G355" s="218"/>
      <c r="H355" s="219"/>
      <c r="I355" s="218"/>
      <c r="J355" s="219"/>
      <c r="K355" s="219"/>
      <c r="L355" s="219">
        <v>0</v>
      </c>
      <c r="M355" s="219">
        <v>0</v>
      </c>
      <c r="N355" s="219">
        <v>0</v>
      </c>
      <c r="O355" s="221"/>
      <c r="P355" s="219"/>
      <c r="Q355" s="219"/>
      <c r="R355" s="219"/>
      <c r="S355" s="219"/>
      <c r="T355" s="219"/>
      <c r="U355" s="219"/>
      <c r="V355" s="219"/>
      <c r="W355" s="221"/>
      <c r="X355" s="219"/>
      <c r="Y355" s="219"/>
      <c r="Z355" s="217"/>
      <c r="AA355" s="219"/>
      <c r="AB355" s="219"/>
      <c r="AC355" s="219"/>
      <c r="AD355" s="219"/>
      <c r="AE355" s="219"/>
      <c r="AF355" s="219"/>
      <c r="AG355" s="219" t="s">
        <v>155</v>
      </c>
      <c r="AH355" s="217"/>
      <c r="AI355" s="218"/>
      <c r="AJ355" s="219"/>
      <c r="AK355" s="219"/>
      <c r="AL355" s="219"/>
      <c r="AM355" s="221"/>
      <c r="AN355" s="219"/>
      <c r="AO355" s="219"/>
      <c r="AP355" s="218"/>
      <c r="AQ355" s="219"/>
      <c r="AR355" s="219"/>
      <c r="AS355" s="221"/>
      <c r="AT355" s="218"/>
      <c r="AU355" s="219"/>
      <c r="AV355" s="219"/>
      <c r="AW355" s="219"/>
      <c r="AX355" s="219"/>
      <c r="AY355" s="219"/>
      <c r="AZ355" s="219"/>
      <c r="BA355" s="219"/>
      <c r="BB355" s="218"/>
      <c r="BC355" s="219"/>
      <c r="BD355" s="219"/>
      <c r="BE355" s="187"/>
    </row>
    <row r="356" spans="2:57" x14ac:dyDescent="0.3">
      <c r="B356" s="223" t="s">
        <v>469</v>
      </c>
      <c r="C356" s="223" t="s">
        <v>471</v>
      </c>
      <c r="D356" s="223" t="s">
        <v>94</v>
      </c>
      <c r="E356" s="223">
        <v>2015</v>
      </c>
      <c r="F356" s="224"/>
      <c r="G356" s="225"/>
      <c r="H356" s="226">
        <f ca="1">IF(AND(E356&gt;=2018,SUMIF('DADOS BASE'!$C$101:$D$104,D356,'DADOS BASE'!$H$101:$H$104)&gt;J356),
SUMIF('DADOS BASE'!$C$101:$D$104,D356,'DADOS BASE'!$H$101:$H$104),
J356)</f>
        <v>2615320.3109397171</v>
      </c>
      <c r="I356" s="225"/>
      <c r="J356" s="226">
        <f t="shared" ref="J356:J374" si="250">N356+Q356+T356</f>
        <v>2615320.3109397171</v>
      </c>
      <c r="K356" s="226"/>
      <c r="L356" s="227">
        <v>2655.8589953922001</v>
      </c>
      <c r="M356" s="226">
        <f t="shared" ref="M356:M374" si="251">L356/$L$11</f>
        <v>2.0719781056203206E-3</v>
      </c>
      <c r="N356" s="226">
        <f>L356*'DADOS BASE'!$I$29</f>
        <v>2615320.3109397171</v>
      </c>
      <c r="O356" s="228"/>
      <c r="P356" s="227">
        <v>0</v>
      </c>
      <c r="Q356" s="226">
        <f>P356*'DADOS BASE'!$I$33</f>
        <v>0</v>
      </c>
      <c r="R356" s="226"/>
      <c r="S356" s="227">
        <v>0</v>
      </c>
      <c r="T356" s="226">
        <f>S356*'DADOS BASE'!$I$37</f>
        <v>0</v>
      </c>
      <c r="U356" s="226"/>
      <c r="V356" s="226">
        <f t="shared" ref="V356:V374" si="252">T356+Q356</f>
        <v>0</v>
      </c>
      <c r="W356" s="228"/>
      <c r="X356" s="226"/>
      <c r="Y356" s="226"/>
      <c r="Z356" s="224"/>
      <c r="AA356" s="226"/>
      <c r="AB356" s="226"/>
      <c r="AC356" s="226"/>
      <c r="AD356" s="226"/>
      <c r="AE356" s="227">
        <v>1077</v>
      </c>
      <c r="AF356" s="227">
        <v>1039.1805914119</v>
      </c>
      <c r="AG356" s="226" t="s">
        <v>155</v>
      </c>
      <c r="AH356" s="229">
        <v>0.71399999999999997</v>
      </c>
      <c r="AI356" s="225">
        <f t="shared" ref="AI356:AI374" si="253">AF356*AH356</f>
        <v>741.97494226809658</v>
      </c>
      <c r="AJ356" s="226">
        <f t="shared" ref="AJ356:AJ374" si="254">(AH356-$AI$12)*$AJ$12</f>
        <v>-1.1230999944212651E-2</v>
      </c>
      <c r="AK356" s="226"/>
      <c r="AL356" s="226">
        <f t="shared" ref="AL356:AL374" si="255">$AL$11-(AJ356*$AL$11)</f>
        <v>181.69431961855551</v>
      </c>
      <c r="AM356" s="228">
        <f t="shared" ref="AM356:AM374" si="256">AF356*AL356</f>
        <v>188813.21051739331</v>
      </c>
      <c r="AN356" s="226"/>
      <c r="AO356" s="227">
        <v>1.6663157894737</v>
      </c>
      <c r="AP356" s="225"/>
      <c r="AQ356" s="226">
        <f t="shared" ref="AQ356:AQ374" si="257">AF356*AO356</f>
        <v>1731.6030275842666</v>
      </c>
      <c r="AR356" s="226">
        <f t="shared" ref="AR356:AR374" si="258">AQ356/$AQ$11</f>
        <v>1.8424076843059226E-3</v>
      </c>
      <c r="AS356" s="228">
        <f>AR356*'DADOS BASE'!W$38</f>
        <v>552675.81710383855</v>
      </c>
      <c r="AT356" s="225"/>
      <c r="AU356" s="227">
        <v>0</v>
      </c>
      <c r="AV356" s="227">
        <v>0</v>
      </c>
      <c r="AW356" s="226">
        <f t="shared" ref="AW356:AW374" si="259">AU356/4</f>
        <v>0</v>
      </c>
      <c r="AX356" s="226">
        <f>IF($AW$11&gt;0,(AW356/$AW$11)*'DADOS BASE'!W$40,0)</f>
        <v>0</v>
      </c>
      <c r="AY356" s="226">
        <f t="shared" ref="AY356:AY374" si="260">AO356*AW356</f>
        <v>0</v>
      </c>
      <c r="AZ356" s="226">
        <f t="shared" ref="AZ356:AZ374" si="261">IF($AY$11&gt;0,AY356/$AY$11,0)</f>
        <v>0</v>
      </c>
      <c r="BA356" s="226">
        <f>AZ356*'DADOS BASE'!W$41</f>
        <v>0</v>
      </c>
      <c r="BB356" s="225"/>
      <c r="BC356" s="227">
        <v>0</v>
      </c>
      <c r="BD356" s="226">
        <f>IF($BC$11&gt;0,(BC356/$BC$11)*'DADOS BASE'!W$39,0)</f>
        <v>0</v>
      </c>
      <c r="BE356" s="187"/>
    </row>
    <row r="357" spans="2:57" x14ac:dyDescent="0.3">
      <c r="B357" s="184" t="s">
        <v>469</v>
      </c>
      <c r="C357" s="184" t="s">
        <v>472</v>
      </c>
      <c r="D357" s="184" t="s">
        <v>98</v>
      </c>
      <c r="E357" s="184">
        <v>2014</v>
      </c>
      <c r="F357" s="185"/>
      <c r="H357" s="186">
        <f ca="1">IF(AND(E357&gt;=2018,SUMIF('DADOS BASE'!$C$101:$D$104,D357,'DADOS BASE'!$H$101:$H$104)&gt;J357),
SUMIF('DADOS BASE'!$C$101:$D$104,D357,'DADOS BASE'!$H$101:$H$104),
J357)</f>
        <v>1309312.3810610927</v>
      </c>
      <c r="J357" s="186">
        <f t="shared" si="250"/>
        <v>1309312.3810610927</v>
      </c>
      <c r="K357" s="186"/>
      <c r="L357" s="188">
        <v>1329.6073335545</v>
      </c>
      <c r="M357" s="186">
        <f t="shared" si="251"/>
        <v>1.0372980225896028E-3</v>
      </c>
      <c r="N357" s="186">
        <f>L357*'DADOS BASE'!$I$29</f>
        <v>1309312.3810610927</v>
      </c>
      <c r="O357" s="187"/>
      <c r="P357" s="188">
        <v>0</v>
      </c>
      <c r="Q357" s="186">
        <f>P357*'DADOS BASE'!$I$33</f>
        <v>0</v>
      </c>
      <c r="R357" s="186"/>
      <c r="S357" s="188">
        <v>0</v>
      </c>
      <c r="T357" s="186">
        <f>S357*'DADOS BASE'!$I$37</f>
        <v>0</v>
      </c>
      <c r="U357" s="186"/>
      <c r="V357" s="186">
        <f t="shared" si="252"/>
        <v>0</v>
      </c>
      <c r="W357" s="187"/>
      <c r="X357" s="186"/>
      <c r="Y357" s="186"/>
      <c r="Z357" s="185"/>
      <c r="AA357" s="186"/>
      <c r="AB357" s="186"/>
      <c r="AC357" s="186"/>
      <c r="AD357" s="186"/>
      <c r="AE357" s="188">
        <v>532</v>
      </c>
      <c r="AF357" s="188">
        <v>509.77603870295002</v>
      </c>
      <c r="AG357" s="186" t="s">
        <v>155</v>
      </c>
      <c r="AH357" s="189">
        <v>0.71799999999999997</v>
      </c>
      <c r="AI357" s="183">
        <f t="shared" si="253"/>
        <v>366.01919578871809</v>
      </c>
      <c r="AJ357" s="186">
        <f t="shared" si="254"/>
        <v>-5.8358236918934457E-3</v>
      </c>
      <c r="AK357" s="186"/>
      <c r="AL357" s="186">
        <f t="shared" si="255"/>
        <v>180.7249339109957</v>
      </c>
      <c r="AM357" s="187">
        <f t="shared" si="256"/>
        <v>92129.240903999831</v>
      </c>
      <c r="AN357" s="186"/>
      <c r="AO357" s="188">
        <v>1.1455696202532</v>
      </c>
      <c r="AQ357" s="186">
        <f t="shared" si="257"/>
        <v>583.98394307111903</v>
      </c>
      <c r="AR357" s="186">
        <f t="shared" si="258"/>
        <v>6.2135286615115539E-4</v>
      </c>
      <c r="AS357" s="187">
        <f>AR357*'DADOS BASE'!W$38</f>
        <v>186390.1816818958</v>
      </c>
      <c r="AU357" s="188">
        <v>0</v>
      </c>
      <c r="AV357" s="188">
        <v>0</v>
      </c>
      <c r="AW357" s="186">
        <f t="shared" si="259"/>
        <v>0</v>
      </c>
      <c r="AX357" s="186">
        <f>IF($AW$11&gt;0,(AW357/$AW$11)*'DADOS BASE'!W$40,0)</f>
        <v>0</v>
      </c>
      <c r="AY357" s="186">
        <f t="shared" si="260"/>
        <v>0</v>
      </c>
      <c r="AZ357" s="186">
        <f t="shared" si="261"/>
        <v>0</v>
      </c>
      <c r="BA357" s="186">
        <f>AZ357*'DADOS BASE'!W$41</f>
        <v>0</v>
      </c>
      <c r="BC357" s="188">
        <v>0</v>
      </c>
      <c r="BD357" s="186">
        <f>IF($BC$11&gt;0,(BC357/$BC$11)*'DADOS BASE'!W$39,0)</f>
        <v>0</v>
      </c>
      <c r="BE357" s="187"/>
    </row>
    <row r="358" spans="2:57" x14ac:dyDescent="0.3">
      <c r="B358" s="223" t="s">
        <v>469</v>
      </c>
      <c r="C358" s="223" t="s">
        <v>473</v>
      </c>
      <c r="D358" s="223" t="s">
        <v>98</v>
      </c>
      <c r="E358" s="223">
        <v>2016</v>
      </c>
      <c r="F358" s="224"/>
      <c r="G358" s="225"/>
      <c r="H358" s="226">
        <f ca="1">IF(AND(E358&gt;=2018,SUMIF('DADOS BASE'!$C$101:$D$104,D358,'DADOS BASE'!$H$101:$H$104)&gt;J358),
SUMIF('DADOS BASE'!$C$101:$D$104,D358,'DADOS BASE'!$H$101:$H$104),
J358)</f>
        <v>2413575.4334610887</v>
      </c>
      <c r="I358" s="225"/>
      <c r="J358" s="226">
        <f t="shared" si="250"/>
        <v>2413575.4334610887</v>
      </c>
      <c r="K358" s="226"/>
      <c r="L358" s="227">
        <v>1947.3587666436999</v>
      </c>
      <c r="M358" s="226">
        <f t="shared" si="251"/>
        <v>1.5192390617400572E-3</v>
      </c>
      <c r="N358" s="226">
        <f>L358*'DADOS BASE'!$I$29</f>
        <v>1917634.5370465305</v>
      </c>
      <c r="O358" s="228"/>
      <c r="P358" s="227">
        <v>0</v>
      </c>
      <c r="Q358" s="226">
        <f>P358*'DADOS BASE'!$I$33</f>
        <v>0</v>
      </c>
      <c r="R358" s="226"/>
      <c r="S358" s="227">
        <v>629.53526448363004</v>
      </c>
      <c r="T358" s="226">
        <f>S358*'DADOS BASE'!$I$37</f>
        <v>495940.89641455811</v>
      </c>
      <c r="U358" s="226"/>
      <c r="V358" s="226">
        <f t="shared" si="252"/>
        <v>495940.89641455811</v>
      </c>
      <c r="W358" s="228"/>
      <c r="X358" s="226"/>
      <c r="Y358" s="226"/>
      <c r="Z358" s="224"/>
      <c r="AA358" s="226"/>
      <c r="AB358" s="226"/>
      <c r="AC358" s="226"/>
      <c r="AD358" s="226"/>
      <c r="AE358" s="227">
        <v>566</v>
      </c>
      <c r="AF358" s="227">
        <v>552.95522573249002</v>
      </c>
      <c r="AG358" s="226" t="s">
        <v>155</v>
      </c>
      <c r="AH358" s="229">
        <v>0.70299999999999996</v>
      </c>
      <c r="AI358" s="225">
        <f t="shared" si="253"/>
        <v>388.72752368994048</v>
      </c>
      <c r="AJ358" s="226">
        <f t="shared" si="254"/>
        <v>-2.6067734638090465E-2</v>
      </c>
      <c r="AK358" s="226"/>
      <c r="AL358" s="226">
        <f t="shared" si="255"/>
        <v>184.36013031434496</v>
      </c>
      <c r="AM358" s="228">
        <f t="shared" si="256"/>
        <v>101942.8974740399</v>
      </c>
      <c r="AN358" s="226"/>
      <c r="AO358" s="227">
        <v>0</v>
      </c>
      <c r="AP358" s="225"/>
      <c r="AQ358" s="226">
        <f t="shared" si="257"/>
        <v>0</v>
      </c>
      <c r="AR358" s="226">
        <f t="shared" si="258"/>
        <v>0</v>
      </c>
      <c r="AS358" s="228">
        <f>AR358*'DADOS BASE'!W$38</f>
        <v>0</v>
      </c>
      <c r="AT358" s="225"/>
      <c r="AU358" s="227">
        <v>251.81410579345001</v>
      </c>
      <c r="AV358" s="227">
        <v>181.5</v>
      </c>
      <c r="AW358" s="226">
        <f t="shared" si="259"/>
        <v>62.953526448362503</v>
      </c>
      <c r="AX358" s="226">
        <f>IF($AW$11&gt;0,(AW358/$AW$11)*'DADOS BASE'!W$40,0)</f>
        <v>11311.261379699583</v>
      </c>
      <c r="AY358" s="226">
        <f t="shared" si="260"/>
        <v>0</v>
      </c>
      <c r="AZ358" s="226">
        <f t="shared" si="261"/>
        <v>0</v>
      </c>
      <c r="BA358" s="226">
        <f>AZ358*'DADOS BASE'!W$41</f>
        <v>0</v>
      </c>
      <c r="BB358" s="225"/>
      <c r="BC358" s="227">
        <v>0</v>
      </c>
      <c r="BD358" s="226">
        <f>IF($BC$11&gt;0,(BC358/$BC$11)*'DADOS BASE'!W$39,0)</f>
        <v>0</v>
      </c>
      <c r="BE358" s="187"/>
    </row>
    <row r="359" spans="2:57" x14ac:dyDescent="0.3">
      <c r="B359" s="184" t="s">
        <v>469</v>
      </c>
      <c r="C359" s="184" t="s">
        <v>474</v>
      </c>
      <c r="D359" s="184" t="s">
        <v>98</v>
      </c>
      <c r="E359" s="184">
        <v>2016</v>
      </c>
      <c r="F359" s="185"/>
      <c r="H359" s="186">
        <f ca="1">IF(AND(E359&gt;=2018,SUMIF('DADOS BASE'!$C$101:$D$104,D359,'DADOS BASE'!$H$101:$H$104)&gt;J359),
SUMIF('DADOS BASE'!$C$101:$D$104,D359,'DADOS BASE'!$H$101:$H$104),
J359)</f>
        <v>1023344.2163150364</v>
      </c>
      <c r="J359" s="186">
        <f t="shared" si="250"/>
        <v>1023344.2163150364</v>
      </c>
      <c r="K359" s="186"/>
      <c r="L359" s="188">
        <v>1039.206528896</v>
      </c>
      <c r="M359" s="186">
        <f t="shared" si="251"/>
        <v>8.1074077307038289E-4</v>
      </c>
      <c r="N359" s="186">
        <f>L359*'DADOS BASE'!$I$29</f>
        <v>1023344.2163150364</v>
      </c>
      <c r="O359" s="187"/>
      <c r="P359" s="188">
        <v>0</v>
      </c>
      <c r="Q359" s="186">
        <f>P359*'DADOS BASE'!$I$33</f>
        <v>0</v>
      </c>
      <c r="R359" s="186"/>
      <c r="S359" s="188">
        <v>0</v>
      </c>
      <c r="T359" s="186">
        <f>S359*'DADOS BASE'!$I$37</f>
        <v>0</v>
      </c>
      <c r="U359" s="186"/>
      <c r="V359" s="186">
        <f t="shared" si="252"/>
        <v>0</v>
      </c>
      <c r="W359" s="187"/>
      <c r="X359" s="186"/>
      <c r="Y359" s="186"/>
      <c r="Z359" s="185"/>
      <c r="AA359" s="186"/>
      <c r="AB359" s="186"/>
      <c r="AC359" s="186"/>
      <c r="AD359" s="186"/>
      <c r="AE359" s="188">
        <v>409</v>
      </c>
      <c r="AF359" s="188">
        <v>415.68261155839002</v>
      </c>
      <c r="AG359" s="186" t="s">
        <v>155</v>
      </c>
      <c r="AH359" s="189">
        <v>0.76800000000000002</v>
      </c>
      <c r="AI359" s="183">
        <f t="shared" si="253"/>
        <v>319.24424567684355</v>
      </c>
      <c r="AJ359" s="186">
        <f t="shared" si="254"/>
        <v>6.1603879462096618E-2</v>
      </c>
      <c r="AK359" s="186"/>
      <c r="AL359" s="186">
        <f t="shared" si="255"/>
        <v>168.60761256649818</v>
      </c>
      <c r="AM359" s="187">
        <f t="shared" si="256"/>
        <v>70087.252720267177</v>
      </c>
      <c r="AN359" s="186"/>
      <c r="AO359" s="188">
        <v>1.4560439560439999</v>
      </c>
      <c r="AQ359" s="186">
        <f t="shared" si="257"/>
        <v>605.25215419217955</v>
      </c>
      <c r="AR359" s="186">
        <f t="shared" si="258"/>
        <v>6.439820224743275E-4</v>
      </c>
      <c r="AS359" s="187">
        <f>AR359*'DADOS BASE'!W$38</f>
        <v>193178.35759313076</v>
      </c>
      <c r="AU359" s="188">
        <v>0</v>
      </c>
      <c r="AV359" s="188">
        <v>0</v>
      </c>
      <c r="AW359" s="186">
        <f t="shared" si="259"/>
        <v>0</v>
      </c>
      <c r="AX359" s="186">
        <f>IF($AW$11&gt;0,(AW359/$AW$11)*'DADOS BASE'!W$40,0)</f>
        <v>0</v>
      </c>
      <c r="AY359" s="186">
        <f t="shared" si="260"/>
        <v>0</v>
      </c>
      <c r="AZ359" s="186">
        <f t="shared" si="261"/>
        <v>0</v>
      </c>
      <c r="BA359" s="186">
        <f>AZ359*'DADOS BASE'!W$41</f>
        <v>0</v>
      </c>
      <c r="BC359" s="188">
        <v>0</v>
      </c>
      <c r="BD359" s="186">
        <f>IF($BC$11&gt;0,(BC359/$BC$11)*'DADOS BASE'!W$39,0)</f>
        <v>0</v>
      </c>
      <c r="BE359" s="187"/>
    </row>
    <row r="360" spans="2:57" x14ac:dyDescent="0.3">
      <c r="B360" s="223" t="s">
        <v>469</v>
      </c>
      <c r="C360" s="223" t="s">
        <v>475</v>
      </c>
      <c r="D360" s="223" t="s">
        <v>98</v>
      </c>
      <c r="E360" s="223">
        <v>2016</v>
      </c>
      <c r="F360" s="224"/>
      <c r="G360" s="225"/>
      <c r="H360" s="226">
        <f ca="1">IF(AND(E360&gt;=2018,SUMIF('DADOS BASE'!$C$101:$D$104,D360,'DADOS BASE'!$H$101:$H$104)&gt;J360),
SUMIF('DADOS BASE'!$C$101:$D$104,D360,'DADOS BASE'!$H$101:$H$104),
J360)</f>
        <v>866080.35678472172</v>
      </c>
      <c r="I360" s="225"/>
      <c r="J360" s="226">
        <f t="shared" si="250"/>
        <v>866080.35678472172</v>
      </c>
      <c r="K360" s="226"/>
      <c r="L360" s="227">
        <v>879.50500620426999</v>
      </c>
      <c r="M360" s="226">
        <f t="shared" si="251"/>
        <v>6.8614904624091446E-4</v>
      </c>
      <c r="N360" s="226">
        <f>L360*'DADOS BASE'!$I$29</f>
        <v>866080.35678472172</v>
      </c>
      <c r="O360" s="228"/>
      <c r="P360" s="227">
        <v>0</v>
      </c>
      <c r="Q360" s="226">
        <f>P360*'DADOS BASE'!$I$33</f>
        <v>0</v>
      </c>
      <c r="R360" s="226"/>
      <c r="S360" s="227">
        <v>0</v>
      </c>
      <c r="T360" s="226">
        <f>S360*'DADOS BASE'!$I$37</f>
        <v>0</v>
      </c>
      <c r="U360" s="226"/>
      <c r="V360" s="226">
        <f t="shared" si="252"/>
        <v>0</v>
      </c>
      <c r="W360" s="228"/>
      <c r="X360" s="226"/>
      <c r="Y360" s="226"/>
      <c r="Z360" s="224"/>
      <c r="AA360" s="226"/>
      <c r="AB360" s="226"/>
      <c r="AC360" s="226"/>
      <c r="AD360" s="226"/>
      <c r="AE360" s="227">
        <v>567</v>
      </c>
      <c r="AF360" s="227">
        <v>400.34966454267999</v>
      </c>
      <c r="AG360" s="226" t="s">
        <v>155</v>
      </c>
      <c r="AH360" s="229">
        <v>0.754</v>
      </c>
      <c r="AI360" s="225">
        <f t="shared" si="253"/>
        <v>301.86364706518071</v>
      </c>
      <c r="AJ360" s="226">
        <f t="shared" si="254"/>
        <v>4.2720762578979402E-2</v>
      </c>
      <c r="AK360" s="226"/>
      <c r="AL360" s="226">
        <f t="shared" si="255"/>
        <v>172.00046254295748</v>
      </c>
      <c r="AM360" s="228">
        <f t="shared" si="256"/>
        <v>68860.327480258828</v>
      </c>
      <c r="AN360" s="226"/>
      <c r="AO360" s="227">
        <v>2.0140845070423001</v>
      </c>
      <c r="AP360" s="225"/>
      <c r="AQ360" s="226">
        <f t="shared" si="257"/>
        <v>806.33805675499389</v>
      </c>
      <c r="AR360" s="226">
        <f t="shared" si="258"/>
        <v>8.5793533982569264E-4</v>
      </c>
      <c r="AS360" s="228">
        <f>AR360*'DADOS BASE'!W$38</f>
        <v>257358.95426372535</v>
      </c>
      <c r="AT360" s="225"/>
      <c r="AU360" s="227">
        <v>0</v>
      </c>
      <c r="AV360" s="227">
        <v>0</v>
      </c>
      <c r="AW360" s="226">
        <f t="shared" si="259"/>
        <v>0</v>
      </c>
      <c r="AX360" s="226">
        <f>IF($AW$11&gt;0,(AW360/$AW$11)*'DADOS BASE'!W$40,0)</f>
        <v>0</v>
      </c>
      <c r="AY360" s="226">
        <f t="shared" si="260"/>
        <v>0</v>
      </c>
      <c r="AZ360" s="226">
        <f t="shared" si="261"/>
        <v>0</v>
      </c>
      <c r="BA360" s="226">
        <f>AZ360*'DADOS BASE'!W$41</f>
        <v>0</v>
      </c>
      <c r="BB360" s="225"/>
      <c r="BC360" s="227">
        <v>0</v>
      </c>
      <c r="BD360" s="226">
        <f>IF($BC$11&gt;0,(BC360/$BC$11)*'DADOS BASE'!W$39,0)</f>
        <v>0</v>
      </c>
      <c r="BE360" s="187"/>
    </row>
    <row r="361" spans="2:57" x14ac:dyDescent="0.3">
      <c r="B361" s="184" t="s">
        <v>469</v>
      </c>
      <c r="C361" s="184" t="s">
        <v>476</v>
      </c>
      <c r="D361" s="184" t="s">
        <v>98</v>
      </c>
      <c r="E361" s="184">
        <v>2014</v>
      </c>
      <c r="F361" s="185"/>
      <c r="H361" s="186">
        <f ca="1">IF(AND(E361&gt;=2018,SUMIF('DADOS BASE'!$C$101:$D$104,D361,'DADOS BASE'!$H$101:$H$104)&gt;J361),
SUMIF('DADOS BASE'!$C$101:$D$104,D361,'DADOS BASE'!$H$101:$H$104),
J361)</f>
        <v>563731.60626197432</v>
      </c>
      <c r="J361" s="186">
        <f t="shared" si="250"/>
        <v>563731.60626197432</v>
      </c>
      <c r="K361" s="186"/>
      <c r="L361" s="188">
        <v>572.46970905059004</v>
      </c>
      <c r="M361" s="186">
        <f t="shared" si="251"/>
        <v>4.4661433658246428E-4</v>
      </c>
      <c r="N361" s="186">
        <f>L361*'DADOS BASE'!$I$29</f>
        <v>563731.60626197432</v>
      </c>
      <c r="O361" s="187"/>
      <c r="P361" s="188">
        <v>0</v>
      </c>
      <c r="Q361" s="186">
        <f>P361*'DADOS BASE'!$I$33</f>
        <v>0</v>
      </c>
      <c r="R361" s="186"/>
      <c r="S361" s="188">
        <v>0</v>
      </c>
      <c r="T361" s="186">
        <f>S361*'DADOS BASE'!$I$37</f>
        <v>0</v>
      </c>
      <c r="U361" s="186"/>
      <c r="V361" s="186">
        <f t="shared" si="252"/>
        <v>0</v>
      </c>
      <c r="W361" s="187"/>
      <c r="X361" s="186"/>
      <c r="Y361" s="186"/>
      <c r="Z361" s="185"/>
      <c r="AA361" s="186"/>
      <c r="AB361" s="186"/>
      <c r="AC361" s="186"/>
      <c r="AD361" s="186"/>
      <c r="AE361" s="188">
        <v>435</v>
      </c>
      <c r="AF361" s="188">
        <v>407.40939196690999</v>
      </c>
      <c r="AG361" s="186" t="s">
        <v>155</v>
      </c>
      <c r="AH361" s="189">
        <v>0.72899999999999998</v>
      </c>
      <c r="AI361" s="183">
        <f t="shared" si="253"/>
        <v>297.00144674387735</v>
      </c>
      <c r="AJ361" s="186">
        <f t="shared" si="254"/>
        <v>9.0009110019843679E-3</v>
      </c>
      <c r="AK361" s="186"/>
      <c r="AL361" s="186">
        <f t="shared" si="255"/>
        <v>178.05912321520626</v>
      </c>
      <c r="AM361" s="187">
        <f t="shared" si="256"/>
        <v>72542.959123268287</v>
      </c>
      <c r="AN361" s="186"/>
      <c r="AO361" s="188">
        <v>1.0773381294964</v>
      </c>
      <c r="AQ361" s="186">
        <f t="shared" si="257"/>
        <v>438.91767228089645</v>
      </c>
      <c r="AR361" s="186">
        <f t="shared" si="258"/>
        <v>4.6700385671890926E-4</v>
      </c>
      <c r="AS361" s="187">
        <f>AR361*'DADOS BASE'!W$38</f>
        <v>140089.37343311179</v>
      </c>
      <c r="AU361" s="188">
        <v>0</v>
      </c>
      <c r="AV361" s="188">
        <v>0</v>
      </c>
      <c r="AW361" s="186">
        <f t="shared" si="259"/>
        <v>0</v>
      </c>
      <c r="AX361" s="186">
        <f>IF($AW$11&gt;0,(AW361/$AW$11)*'DADOS BASE'!W$40,0)</f>
        <v>0</v>
      </c>
      <c r="AY361" s="186">
        <f t="shared" si="260"/>
        <v>0</v>
      </c>
      <c r="AZ361" s="186">
        <f t="shared" si="261"/>
        <v>0</v>
      </c>
      <c r="BA361" s="186">
        <f>AZ361*'DADOS BASE'!W$41</f>
        <v>0</v>
      </c>
      <c r="BC361" s="188">
        <v>0</v>
      </c>
      <c r="BD361" s="186">
        <f>IF($BC$11&gt;0,(BC361/$BC$11)*'DADOS BASE'!W$39,0)</f>
        <v>0</v>
      </c>
      <c r="BE361" s="187"/>
    </row>
    <row r="362" spans="2:57" x14ac:dyDescent="0.3">
      <c r="B362" s="223" t="s">
        <v>469</v>
      </c>
      <c r="C362" s="223" t="s">
        <v>477</v>
      </c>
      <c r="D362" s="223" t="s">
        <v>94</v>
      </c>
      <c r="E362" s="223">
        <v>2009</v>
      </c>
      <c r="F362" s="224"/>
      <c r="G362" s="225"/>
      <c r="H362" s="226">
        <f ca="1">IF(AND(E362&gt;=2018,SUMIF('DADOS BASE'!$C$101:$D$104,D362,'DADOS BASE'!$H$101:$H$104)&gt;J362),
SUMIF('DADOS BASE'!$C$101:$D$104,D362,'DADOS BASE'!$H$101:$H$104),
J362)</f>
        <v>1238803.5785071796</v>
      </c>
      <c r="I362" s="225"/>
      <c r="J362" s="226">
        <f t="shared" si="250"/>
        <v>1238803.5785071796</v>
      </c>
      <c r="K362" s="226"/>
      <c r="L362" s="227">
        <v>1257.5608914632001</v>
      </c>
      <c r="M362" s="226">
        <f t="shared" si="251"/>
        <v>9.8109072737550922E-4</v>
      </c>
      <c r="N362" s="226">
        <f>L362*'DADOS BASE'!$I$29</f>
        <v>1238365.6464418124</v>
      </c>
      <c r="O362" s="228"/>
      <c r="P362" s="227">
        <v>0</v>
      </c>
      <c r="Q362" s="226">
        <f>P362*'DADOS BASE'!$I$33</f>
        <v>0</v>
      </c>
      <c r="R362" s="226"/>
      <c r="S362" s="227">
        <v>0.55590027075811999</v>
      </c>
      <c r="T362" s="226">
        <f>S362*'DADOS BASE'!$I$37</f>
        <v>437.93206536731913</v>
      </c>
      <c r="U362" s="226"/>
      <c r="V362" s="226">
        <f t="shared" si="252"/>
        <v>437.93206536731913</v>
      </c>
      <c r="W362" s="228"/>
      <c r="X362" s="226"/>
      <c r="Y362" s="226"/>
      <c r="Z362" s="224"/>
      <c r="AA362" s="226"/>
      <c r="AB362" s="226"/>
      <c r="AC362" s="226"/>
      <c r="AD362" s="226"/>
      <c r="AE362" s="227">
        <v>813</v>
      </c>
      <c r="AF362" s="227">
        <v>664.75301783123996</v>
      </c>
      <c r="AG362" s="226" t="s">
        <v>155</v>
      </c>
      <c r="AH362" s="229">
        <v>0.748</v>
      </c>
      <c r="AI362" s="225">
        <f t="shared" si="253"/>
        <v>497.23525733776751</v>
      </c>
      <c r="AJ362" s="226">
        <f t="shared" si="254"/>
        <v>3.4627998200500595E-2</v>
      </c>
      <c r="AK362" s="226"/>
      <c r="AL362" s="226">
        <f t="shared" si="255"/>
        <v>173.45454110429719</v>
      </c>
      <c r="AM362" s="228">
        <f t="shared" si="256"/>
        <v>115304.42965561441</v>
      </c>
      <c r="AN362" s="226"/>
      <c r="AO362" s="227">
        <v>1.3125</v>
      </c>
      <c r="AP362" s="225"/>
      <c r="AQ362" s="226">
        <f t="shared" si="257"/>
        <v>872.4883359035025</v>
      </c>
      <c r="AR362" s="226">
        <f t="shared" si="258"/>
        <v>9.2831855161310862E-4</v>
      </c>
      <c r="AS362" s="228">
        <f>AR362*'DADOS BASE'!W$38</f>
        <v>278472.14186946244</v>
      </c>
      <c r="AT362" s="225"/>
      <c r="AU362" s="227">
        <v>0.22236010830325001</v>
      </c>
      <c r="AV362" s="227">
        <v>0.75</v>
      </c>
      <c r="AW362" s="226">
        <f t="shared" si="259"/>
        <v>5.5590027075812502E-2</v>
      </c>
      <c r="AX362" s="226">
        <f>IF($AW$11&gt;0,(AW362/$AW$11)*'DADOS BASE'!W$40,0)</f>
        <v>9.9882145105065465</v>
      </c>
      <c r="AY362" s="226">
        <f t="shared" si="260"/>
        <v>7.2961910537003904E-2</v>
      </c>
      <c r="AZ362" s="226">
        <f t="shared" si="261"/>
        <v>3.8159309389476956E-6</v>
      </c>
      <c r="BA362" s="226">
        <f>AZ362*'DADOS BASE'!W$41</f>
        <v>28.191539773480805</v>
      </c>
      <c r="BB362" s="225"/>
      <c r="BC362" s="227">
        <v>0</v>
      </c>
      <c r="BD362" s="226">
        <f>IF($BC$11&gt;0,(BC362/$BC$11)*'DADOS BASE'!W$39,0)</f>
        <v>0</v>
      </c>
      <c r="BE362" s="187"/>
    </row>
    <row r="363" spans="2:57" x14ac:dyDescent="0.3">
      <c r="B363" s="184" t="s">
        <v>469</v>
      </c>
      <c r="C363" s="184" t="s">
        <v>478</v>
      </c>
      <c r="D363" s="184" t="s">
        <v>92</v>
      </c>
      <c r="E363" s="184">
        <v>2009</v>
      </c>
      <c r="F363" s="185"/>
      <c r="H363" s="186">
        <f ca="1">IF(AND(E363&gt;=2018,SUMIF('DADOS BASE'!$C$101:$D$104,D363,'DADOS BASE'!$H$101:$H$104)&gt;J363),
SUMIF('DADOS BASE'!$C$101:$D$104,D363,'DADOS BASE'!$H$101:$H$104),
J363)</f>
        <v>3093272.9674062319</v>
      </c>
      <c r="J363" s="186">
        <f t="shared" si="250"/>
        <v>3093272.9674062319</v>
      </c>
      <c r="K363" s="186"/>
      <c r="L363" s="188">
        <v>3141.2201409231998</v>
      </c>
      <c r="M363" s="186">
        <f t="shared" si="251"/>
        <v>2.4506343778862055E-3</v>
      </c>
      <c r="N363" s="186">
        <f>L363*'DADOS BASE'!$I$29</f>
        <v>3093272.9674062319</v>
      </c>
      <c r="O363" s="187"/>
      <c r="P363" s="188">
        <v>0</v>
      </c>
      <c r="Q363" s="186">
        <f>P363*'DADOS BASE'!$I$33</f>
        <v>0</v>
      </c>
      <c r="R363" s="186"/>
      <c r="S363" s="188">
        <v>0</v>
      </c>
      <c r="T363" s="186">
        <f>S363*'DADOS BASE'!$I$37</f>
        <v>0</v>
      </c>
      <c r="U363" s="186"/>
      <c r="V363" s="186">
        <f t="shared" si="252"/>
        <v>0</v>
      </c>
      <c r="W363" s="187"/>
      <c r="X363" s="186"/>
      <c r="Y363" s="186"/>
      <c r="Z363" s="185"/>
      <c r="AA363" s="186"/>
      <c r="AB363" s="186"/>
      <c r="AC363" s="186"/>
      <c r="AD363" s="186"/>
      <c r="AE363" s="188">
        <v>1043</v>
      </c>
      <c r="AF363" s="188">
        <v>1027.4568562498</v>
      </c>
      <c r="AG363" s="186" t="s">
        <v>155</v>
      </c>
      <c r="AH363" s="189">
        <v>0.70799999999999996</v>
      </c>
      <c r="AI363" s="183">
        <f t="shared" si="253"/>
        <v>727.43945422485842</v>
      </c>
      <c r="AJ363" s="186">
        <f t="shared" si="254"/>
        <v>-1.9323764322691461E-2</v>
      </c>
      <c r="AK363" s="186"/>
      <c r="AL363" s="186">
        <f t="shared" si="255"/>
        <v>183.1483981798952</v>
      </c>
      <c r="AM363" s="187">
        <f t="shared" si="256"/>
        <v>188177.07742110171</v>
      </c>
      <c r="AN363" s="186"/>
      <c r="AO363" s="188">
        <v>1.8928571428570999</v>
      </c>
      <c r="AQ363" s="186">
        <f t="shared" si="257"/>
        <v>1944.8290493299346</v>
      </c>
      <c r="AR363" s="186">
        <f t="shared" si="258"/>
        <v>2.0692779627127806E-3</v>
      </c>
      <c r="AS363" s="187">
        <f>AR363*'DADOS BASE'!W$38</f>
        <v>620731.17616641277</v>
      </c>
      <c r="AU363" s="188">
        <v>0</v>
      </c>
      <c r="AV363" s="188">
        <v>0</v>
      </c>
      <c r="AW363" s="186">
        <f t="shared" si="259"/>
        <v>0</v>
      </c>
      <c r="AX363" s="186">
        <f>IF($AW$11&gt;0,(AW363/$AW$11)*'DADOS BASE'!W$40,0)</f>
        <v>0</v>
      </c>
      <c r="AY363" s="186">
        <f t="shared" si="260"/>
        <v>0</v>
      </c>
      <c r="AZ363" s="186">
        <f t="shared" si="261"/>
        <v>0</v>
      </c>
      <c r="BA363" s="186">
        <f>AZ363*'DADOS BASE'!W$41</f>
        <v>0</v>
      </c>
      <c r="BC363" s="188">
        <v>111.5</v>
      </c>
      <c r="BD363" s="186">
        <f>IF($BC$11&gt;0,(BC363/$BC$11)*'DADOS BASE'!W$39,0)</f>
        <v>602457.24739530974</v>
      </c>
      <c r="BE363" s="187"/>
    </row>
    <row r="364" spans="2:57" x14ac:dyDescent="0.3">
      <c r="B364" s="223" t="s">
        <v>469</v>
      </c>
      <c r="C364" s="223" t="s">
        <v>479</v>
      </c>
      <c r="D364" s="223" t="s">
        <v>92</v>
      </c>
      <c r="E364" s="223">
        <v>2009</v>
      </c>
      <c r="F364" s="224"/>
      <c r="G364" s="225"/>
      <c r="H364" s="226">
        <f ca="1">IF(AND(E364&gt;=2018,SUMIF('DADOS BASE'!$C$101:$D$104,D364,'DADOS BASE'!$H$101:$H$104)&gt;J364),
SUMIF('DADOS BASE'!$C$101:$D$104,D364,'DADOS BASE'!$H$101:$H$104),
J364)</f>
        <v>3227524.5777794239</v>
      </c>
      <c r="I364" s="225"/>
      <c r="J364" s="226">
        <f t="shared" si="250"/>
        <v>3227524.5777794239</v>
      </c>
      <c r="K364" s="226"/>
      <c r="L364" s="227">
        <v>3277.5527138643001</v>
      </c>
      <c r="M364" s="226">
        <f t="shared" si="251"/>
        <v>2.5569947331260481E-3</v>
      </c>
      <c r="N364" s="226">
        <f>L364*'DADOS BASE'!$I$29</f>
        <v>3227524.5777794239</v>
      </c>
      <c r="O364" s="228"/>
      <c r="P364" s="227">
        <v>0</v>
      </c>
      <c r="Q364" s="226">
        <f>P364*'DADOS BASE'!$I$33</f>
        <v>0</v>
      </c>
      <c r="R364" s="226"/>
      <c r="S364" s="227">
        <v>0</v>
      </c>
      <c r="T364" s="226">
        <f>S364*'DADOS BASE'!$I$37</f>
        <v>0</v>
      </c>
      <c r="U364" s="226"/>
      <c r="V364" s="226">
        <f t="shared" si="252"/>
        <v>0</v>
      </c>
      <c r="W364" s="228"/>
      <c r="X364" s="226"/>
      <c r="Y364" s="226"/>
      <c r="Z364" s="224"/>
      <c r="AA364" s="226"/>
      <c r="AB364" s="226"/>
      <c r="AC364" s="226"/>
      <c r="AD364" s="226"/>
      <c r="AE364" s="227">
        <v>1199</v>
      </c>
      <c r="AF364" s="227">
        <v>1022.7516781059001</v>
      </c>
      <c r="AG364" s="226" t="s">
        <v>155</v>
      </c>
      <c r="AH364" s="229">
        <v>0.73399999999999999</v>
      </c>
      <c r="AI364" s="225">
        <f t="shared" si="253"/>
        <v>750.69973172973062</v>
      </c>
      <c r="AJ364" s="226">
        <f t="shared" si="254"/>
        <v>1.5744881317383375E-2</v>
      </c>
      <c r="AK364" s="226"/>
      <c r="AL364" s="226">
        <f t="shared" si="255"/>
        <v>176.84739108075649</v>
      </c>
      <c r="AM364" s="228">
        <f t="shared" si="256"/>
        <v>180870.96599649408</v>
      </c>
      <c r="AN364" s="226"/>
      <c r="AO364" s="227">
        <v>1.5104</v>
      </c>
      <c r="AP364" s="225"/>
      <c r="AQ364" s="226">
        <f t="shared" si="257"/>
        <v>1544.7641346111513</v>
      </c>
      <c r="AR364" s="226">
        <f t="shared" si="258"/>
        <v>1.6436130375784251E-3</v>
      </c>
      <c r="AS364" s="228">
        <f>AR364*'DADOS BASE'!W$38</f>
        <v>493042.43913224223</v>
      </c>
      <c r="AT364" s="225"/>
      <c r="AU364" s="227">
        <v>0</v>
      </c>
      <c r="AV364" s="227">
        <v>0</v>
      </c>
      <c r="AW364" s="226">
        <f t="shared" si="259"/>
        <v>0</v>
      </c>
      <c r="AX364" s="226">
        <f>IF($AW$11&gt;0,(AW364/$AW$11)*'DADOS BASE'!W$40,0)</f>
        <v>0</v>
      </c>
      <c r="AY364" s="226">
        <f t="shared" si="260"/>
        <v>0</v>
      </c>
      <c r="AZ364" s="226">
        <f t="shared" si="261"/>
        <v>0</v>
      </c>
      <c r="BA364" s="226">
        <f>AZ364*'DADOS BASE'!W$41</f>
        <v>0</v>
      </c>
      <c r="BB364" s="225"/>
      <c r="BC364" s="227">
        <v>89.5</v>
      </c>
      <c r="BD364" s="226">
        <f>IF($BC$11&gt;0,(BC364/$BC$11)*'DADOS BASE'!W$39,0)</f>
        <v>483586.75912000198</v>
      </c>
      <c r="BE364" s="187"/>
    </row>
    <row r="365" spans="2:57" x14ac:dyDescent="0.3">
      <c r="B365" s="184" t="s">
        <v>469</v>
      </c>
      <c r="C365" s="184" t="s">
        <v>480</v>
      </c>
      <c r="D365" s="184" t="s">
        <v>92</v>
      </c>
      <c r="E365" s="184">
        <v>2009</v>
      </c>
      <c r="F365" s="185"/>
      <c r="H365" s="186">
        <f ca="1">IF(AND(E365&gt;=2018,SUMIF('DADOS BASE'!$C$101:$D$104,D365,'DADOS BASE'!$H$101:$H$104)&gt;J365),
SUMIF('DADOS BASE'!$C$101:$D$104,D365,'DADOS BASE'!$H$101:$H$104),
J365)</f>
        <v>3288256.2018444273</v>
      </c>
      <c r="J365" s="186">
        <f t="shared" si="250"/>
        <v>3288256.2018444273</v>
      </c>
      <c r="K365" s="186"/>
      <c r="L365" s="188">
        <v>3339.2257064239998</v>
      </c>
      <c r="M365" s="186">
        <f t="shared" si="251"/>
        <v>2.605109143760605E-3</v>
      </c>
      <c r="N365" s="186">
        <f>L365*'DADOS BASE'!$I$29</f>
        <v>3288256.2018444273</v>
      </c>
      <c r="O365" s="187"/>
      <c r="P365" s="188">
        <v>0</v>
      </c>
      <c r="Q365" s="186">
        <f>P365*'DADOS BASE'!$I$33</f>
        <v>0</v>
      </c>
      <c r="R365" s="186"/>
      <c r="S365" s="188">
        <v>0</v>
      </c>
      <c r="T365" s="186">
        <f>S365*'DADOS BASE'!$I$37</f>
        <v>0</v>
      </c>
      <c r="U365" s="186"/>
      <c r="V365" s="186">
        <f t="shared" si="252"/>
        <v>0</v>
      </c>
      <c r="W365" s="187"/>
      <c r="X365" s="186"/>
      <c r="Y365" s="186"/>
      <c r="Z365" s="185"/>
      <c r="AA365" s="186"/>
      <c r="AB365" s="186"/>
      <c r="AC365" s="186"/>
      <c r="AD365" s="186"/>
      <c r="AE365" s="188">
        <v>966</v>
      </c>
      <c r="AF365" s="188">
        <v>977.13822078092005</v>
      </c>
      <c r="AG365" s="186" t="s">
        <v>155</v>
      </c>
      <c r="AH365" s="189">
        <v>0.66800000000000004</v>
      </c>
      <c r="AI365" s="183">
        <f t="shared" si="253"/>
        <v>652.72833148165466</v>
      </c>
      <c r="AJ365" s="186">
        <f t="shared" si="254"/>
        <v>-7.3275526845883357E-2</v>
      </c>
      <c r="AK365" s="186"/>
      <c r="AL365" s="186">
        <f t="shared" si="255"/>
        <v>192.8422552554932</v>
      </c>
      <c r="AM365" s="187">
        <f t="shared" si="256"/>
        <v>188433.53819173266</v>
      </c>
      <c r="AN365" s="186"/>
      <c r="AO365" s="188">
        <v>1.4151917404130001</v>
      </c>
      <c r="AQ365" s="186">
        <f t="shared" si="257"/>
        <v>1382.8379392910126</v>
      </c>
      <c r="AR365" s="186">
        <f t="shared" si="258"/>
        <v>1.4713252430921526E-3</v>
      </c>
      <c r="AS365" s="187">
        <f>AR365*'DADOS BASE'!W$38</f>
        <v>441360.44800410047</v>
      </c>
      <c r="AU365" s="188">
        <v>0</v>
      </c>
      <c r="AV365" s="188">
        <v>0</v>
      </c>
      <c r="AW365" s="186">
        <f t="shared" si="259"/>
        <v>0</v>
      </c>
      <c r="AX365" s="186">
        <f>IF($AW$11&gt;0,(AW365/$AW$11)*'DADOS BASE'!W$40,0)</f>
        <v>0</v>
      </c>
      <c r="AY365" s="186">
        <f t="shared" si="260"/>
        <v>0</v>
      </c>
      <c r="AZ365" s="186">
        <f t="shared" si="261"/>
        <v>0</v>
      </c>
      <c r="BA365" s="186">
        <f>AZ365*'DADOS BASE'!W$41</f>
        <v>0</v>
      </c>
      <c r="BC365" s="188">
        <v>76</v>
      </c>
      <c r="BD365" s="186">
        <f>IF($BC$11&gt;0,(BC365/$BC$11)*'DADOS BASE'!W$39,0)</f>
        <v>410643.50495106308</v>
      </c>
      <c r="BE365" s="187"/>
    </row>
    <row r="366" spans="2:57" x14ac:dyDescent="0.3">
      <c r="B366" s="223" t="s">
        <v>469</v>
      </c>
      <c r="C366" s="223" t="s">
        <v>481</v>
      </c>
      <c r="D366" s="223" t="s">
        <v>94</v>
      </c>
      <c r="E366" s="223">
        <v>2009</v>
      </c>
      <c r="F366" s="224"/>
      <c r="G366" s="225"/>
      <c r="H366" s="226">
        <f ca="1">IF(AND(E366&gt;=2018,SUMIF('DADOS BASE'!$C$101:$D$104,D366,'DADOS BASE'!$H$101:$H$104)&gt;J366),
SUMIF('DADOS BASE'!$C$101:$D$104,D366,'DADOS BASE'!$H$101:$H$104),
J366)</f>
        <v>7381327.1457521636</v>
      </c>
      <c r="I366" s="225"/>
      <c r="J366" s="226">
        <f t="shared" si="250"/>
        <v>7381327.1457521636</v>
      </c>
      <c r="K366" s="226"/>
      <c r="L366" s="227">
        <v>6955.0067268207004</v>
      </c>
      <c r="M366" s="226">
        <f t="shared" si="251"/>
        <v>5.4259739268599505E-3</v>
      </c>
      <c r="N366" s="226">
        <f>L366*'DADOS BASE'!$I$29</f>
        <v>6848846.4135086434</v>
      </c>
      <c r="O366" s="228"/>
      <c r="P366" s="227">
        <v>1109.3254577063999</v>
      </c>
      <c r="Q366" s="226">
        <f>P366*'DADOS BASE'!$I$33</f>
        <v>273098.21474102855</v>
      </c>
      <c r="R366" s="226"/>
      <c r="S366" s="227">
        <v>329.25383435583001</v>
      </c>
      <c r="T366" s="226">
        <f>S366*'DADOS BASE'!$I$37</f>
        <v>259382.51750249148</v>
      </c>
      <c r="U366" s="226"/>
      <c r="V366" s="226">
        <f t="shared" si="252"/>
        <v>532480.73224351997</v>
      </c>
      <c r="W366" s="228"/>
      <c r="X366" s="226"/>
      <c r="Y366" s="226"/>
      <c r="Z366" s="224"/>
      <c r="AA366" s="226"/>
      <c r="AB366" s="226"/>
      <c r="AC366" s="226"/>
      <c r="AD366" s="226"/>
      <c r="AE366" s="227">
        <v>4958</v>
      </c>
      <c r="AF366" s="227">
        <v>3418.2133030368</v>
      </c>
      <c r="AG366" s="226" t="s">
        <v>155</v>
      </c>
      <c r="AH366" s="229">
        <v>0.78500000000000003</v>
      </c>
      <c r="AI366" s="225">
        <f t="shared" si="253"/>
        <v>2683.2974428838879</v>
      </c>
      <c r="AJ366" s="226">
        <f t="shared" si="254"/>
        <v>8.4533378534453238E-2</v>
      </c>
      <c r="AK366" s="226"/>
      <c r="AL366" s="226">
        <f t="shared" si="255"/>
        <v>164.48772330936902</v>
      </c>
      <c r="AM366" s="228">
        <f t="shared" si="256"/>
        <v>562254.12400232151</v>
      </c>
      <c r="AN366" s="226"/>
      <c r="AO366" s="227">
        <v>0.94614779874213994</v>
      </c>
      <c r="AP366" s="225"/>
      <c r="AQ366" s="226">
        <f t="shared" si="257"/>
        <v>3234.1349922993677</v>
      </c>
      <c r="AR366" s="226">
        <f t="shared" si="258"/>
        <v>3.4410861305825841E-3</v>
      </c>
      <c r="AS366" s="228">
        <f>AR366*'DADOS BASE'!W$38</f>
        <v>1032239.0126487501</v>
      </c>
      <c r="AT366" s="225"/>
      <c r="AU366" s="227">
        <v>131.75191717791</v>
      </c>
      <c r="AV366" s="227">
        <v>458.25</v>
      </c>
      <c r="AW366" s="226">
        <f t="shared" si="259"/>
        <v>32.937979294477501</v>
      </c>
      <c r="AX366" s="226">
        <f>IF($AW$11&gt;0,(AW366/$AW$11)*'DADOS BASE'!W$40,0)</f>
        <v>5918.1766953844544</v>
      </c>
      <c r="AY366" s="226">
        <f t="shared" si="260"/>
        <v>31.164196604484072</v>
      </c>
      <c r="AZ366" s="226">
        <f t="shared" si="261"/>
        <v>1.6298973140264318E-3</v>
      </c>
      <c r="BA366" s="226">
        <f>AZ366*'DADOS BASE'!W$41</f>
        <v>12041.443016192779</v>
      </c>
      <c r="BB366" s="225"/>
      <c r="BC366" s="227">
        <v>0</v>
      </c>
      <c r="BD366" s="226">
        <f>IF($BC$11&gt;0,(BC366/$BC$11)*'DADOS BASE'!W$39,0)</f>
        <v>0</v>
      </c>
      <c r="BE366" s="187"/>
    </row>
    <row r="367" spans="2:57" x14ac:dyDescent="0.3">
      <c r="B367" s="184" t="s">
        <v>469</v>
      </c>
      <c r="C367" s="184" t="s">
        <v>482</v>
      </c>
      <c r="D367" s="184" t="s">
        <v>94</v>
      </c>
      <c r="E367" s="184">
        <v>2009</v>
      </c>
      <c r="F367" s="185"/>
      <c r="H367" s="186">
        <f ca="1">IF(AND(E367&gt;=2018,SUMIF('DADOS BASE'!$C$101:$D$104,D367,'DADOS BASE'!$H$101:$H$104)&gt;J367),
SUMIF('DADOS BASE'!$C$101:$D$104,D367,'DADOS BASE'!$H$101:$H$104),
J367)</f>
        <v>2011681.5623377175</v>
      </c>
      <c r="J367" s="186">
        <f t="shared" si="250"/>
        <v>2011681.5623377175</v>
      </c>
      <c r="K367" s="186"/>
      <c r="L367" s="188">
        <v>1633.4196616016</v>
      </c>
      <c r="M367" s="186">
        <f t="shared" si="251"/>
        <v>1.2743183211157188E-3</v>
      </c>
      <c r="N367" s="186">
        <f>L367*'DADOS BASE'!$I$29</f>
        <v>1608487.3574563002</v>
      </c>
      <c r="O367" s="187"/>
      <c r="P367" s="188">
        <v>1637.7756123334</v>
      </c>
      <c r="Q367" s="186">
        <f>P367*'DADOS BASE'!$I$33</f>
        <v>403194.20488141745</v>
      </c>
      <c r="R367" s="186"/>
      <c r="S367" s="188">
        <v>0</v>
      </c>
      <c r="T367" s="186">
        <f>S367*'DADOS BASE'!$I$37</f>
        <v>0</v>
      </c>
      <c r="U367" s="186"/>
      <c r="V367" s="186">
        <f t="shared" si="252"/>
        <v>403194.20488141745</v>
      </c>
      <c r="W367" s="187"/>
      <c r="X367" s="186"/>
      <c r="Y367" s="186"/>
      <c r="Z367" s="185"/>
      <c r="AA367" s="186"/>
      <c r="AB367" s="186"/>
      <c r="AC367" s="186"/>
      <c r="AD367" s="186"/>
      <c r="AE367" s="188">
        <v>1255</v>
      </c>
      <c r="AF367" s="188">
        <v>786.42393184165996</v>
      </c>
      <c r="AG367" s="186" t="s">
        <v>155</v>
      </c>
      <c r="AH367" s="189">
        <v>0.78500000000000003</v>
      </c>
      <c r="AI367" s="183">
        <f t="shared" si="253"/>
        <v>617.34278649570308</v>
      </c>
      <c r="AJ367" s="186">
        <f t="shared" si="254"/>
        <v>8.4533378534453238E-2</v>
      </c>
      <c r="AK367" s="186"/>
      <c r="AL367" s="186">
        <f t="shared" si="255"/>
        <v>164.48772330936902</v>
      </c>
      <c r="AM367" s="187">
        <f t="shared" si="256"/>
        <v>129357.08210463704</v>
      </c>
      <c r="AN367" s="186"/>
      <c r="AO367" s="188">
        <v>1.4550691244239999</v>
      </c>
      <c r="AQ367" s="186">
        <f t="shared" si="257"/>
        <v>1144.3011819309236</v>
      </c>
      <c r="AR367" s="186">
        <f t="shared" si="258"/>
        <v>1.2175246041762229E-3</v>
      </c>
      <c r="AS367" s="187">
        <f>AR367*'DADOS BASE'!W$38</f>
        <v>365226.6603038063</v>
      </c>
      <c r="AU367" s="188">
        <v>0</v>
      </c>
      <c r="AV367" s="188">
        <v>343.25</v>
      </c>
      <c r="AW367" s="186">
        <f t="shared" si="259"/>
        <v>0</v>
      </c>
      <c r="AX367" s="186">
        <f>IF($AW$11&gt;0,(AW367/$AW$11)*'DADOS BASE'!W$40,0)</f>
        <v>0</v>
      </c>
      <c r="AY367" s="186">
        <f t="shared" si="260"/>
        <v>0</v>
      </c>
      <c r="AZ367" s="186">
        <f t="shared" si="261"/>
        <v>0</v>
      </c>
      <c r="BA367" s="186">
        <f>AZ367*'DADOS BASE'!W$41</f>
        <v>0</v>
      </c>
      <c r="BC367" s="188">
        <v>0</v>
      </c>
      <c r="BD367" s="186">
        <f>IF($BC$11&gt;0,(BC367/$BC$11)*'DADOS BASE'!W$39,0)</f>
        <v>0</v>
      </c>
      <c r="BE367" s="187"/>
    </row>
    <row r="368" spans="2:57" x14ac:dyDescent="0.3">
      <c r="B368" s="223" t="s">
        <v>469</v>
      </c>
      <c r="C368" s="223" t="s">
        <v>483</v>
      </c>
      <c r="D368" s="223" t="s">
        <v>92</v>
      </c>
      <c r="E368" s="223">
        <v>2010</v>
      </c>
      <c r="F368" s="224"/>
      <c r="G368" s="225"/>
      <c r="H368" s="226">
        <f ca="1">IF(AND(E368&gt;=2018,SUMIF('DADOS BASE'!$C$101:$D$104,D368,'DADOS BASE'!$H$101:$H$104)&gt;J368),
SUMIF('DADOS BASE'!$C$101:$D$104,D368,'DADOS BASE'!$H$101:$H$104),
J368)</f>
        <v>2700107.2558437963</v>
      </c>
      <c r="I368" s="225"/>
      <c r="J368" s="226">
        <f t="shared" si="250"/>
        <v>2700107.2558437963</v>
      </c>
      <c r="K368" s="226"/>
      <c r="L368" s="227">
        <v>2741.8843225597002</v>
      </c>
      <c r="M368" s="226">
        <f t="shared" si="251"/>
        <v>2.1390910791362818E-3</v>
      </c>
      <c r="N368" s="226">
        <f>L368*'DADOS BASE'!$I$29</f>
        <v>2700032.5587611319</v>
      </c>
      <c r="O368" s="228"/>
      <c r="P368" s="227">
        <v>0</v>
      </c>
      <c r="Q368" s="226">
        <f>P368*'DADOS BASE'!$I$33</f>
        <v>0</v>
      </c>
      <c r="R368" s="226"/>
      <c r="S368" s="227">
        <v>9.4818652849741003E-2</v>
      </c>
      <c r="T368" s="226">
        <f>S368*'DADOS BASE'!$I$37</f>
        <v>74.697082664134285</v>
      </c>
      <c r="U368" s="226"/>
      <c r="V368" s="226">
        <f t="shared" si="252"/>
        <v>74.697082664134285</v>
      </c>
      <c r="W368" s="228"/>
      <c r="X368" s="226"/>
      <c r="Y368" s="226"/>
      <c r="Z368" s="224"/>
      <c r="AA368" s="226"/>
      <c r="AB368" s="226"/>
      <c r="AC368" s="226"/>
      <c r="AD368" s="226"/>
      <c r="AE368" s="227">
        <v>1133</v>
      </c>
      <c r="AF368" s="227">
        <v>1116.7870122571001</v>
      </c>
      <c r="AG368" s="226" t="s">
        <v>155</v>
      </c>
      <c r="AH368" s="229">
        <v>0.71599999999999997</v>
      </c>
      <c r="AI368" s="225">
        <f t="shared" si="253"/>
        <v>799.61950077608356</v>
      </c>
      <c r="AJ368" s="226">
        <f t="shared" si="254"/>
        <v>-8.5334118180530483E-3</v>
      </c>
      <c r="AK368" s="226"/>
      <c r="AL368" s="226">
        <f t="shared" si="255"/>
        <v>181.20962676477561</v>
      </c>
      <c r="AM368" s="228">
        <f t="shared" si="256"/>
        <v>202372.55766685799</v>
      </c>
      <c r="AN368" s="226"/>
      <c r="AO368" s="227">
        <v>1.6021505376344001</v>
      </c>
      <c r="AP368" s="225"/>
      <c r="AQ368" s="226">
        <f t="shared" si="257"/>
        <v>1789.2609121108283</v>
      </c>
      <c r="AR368" s="226">
        <f t="shared" si="258"/>
        <v>1.9037550761852034E-3</v>
      </c>
      <c r="AS368" s="228">
        <f>AR368*'DADOS BASE'!W$38</f>
        <v>571078.48673167592</v>
      </c>
      <c r="AT368" s="225"/>
      <c r="AU368" s="227">
        <v>4.7409326424870002E-2</v>
      </c>
      <c r="AV368" s="227">
        <v>0.25</v>
      </c>
      <c r="AW368" s="226">
        <f t="shared" si="259"/>
        <v>1.18523316062175E-2</v>
      </c>
      <c r="AX368" s="226">
        <f>IF($AW$11&gt;0,(AW368/$AW$11)*'DADOS BASE'!W$40,0)</f>
        <v>2.1295839696409562</v>
      </c>
      <c r="AY368" s="226">
        <f t="shared" si="260"/>
        <v>1.8989219455122559E-2</v>
      </c>
      <c r="AZ368" s="226">
        <f t="shared" si="261"/>
        <v>9.931421681799235E-7</v>
      </c>
      <c r="BA368" s="226">
        <f>AZ368*'DADOS BASE'!W$41</f>
        <v>7.3371891113643253</v>
      </c>
      <c r="BB368" s="225"/>
      <c r="BC368" s="227">
        <v>113.5</v>
      </c>
      <c r="BD368" s="226">
        <f>IF($BC$11&gt;0,(BC368/$BC$11)*'DADOS BASE'!W$39,0)</f>
        <v>613263.65542033769</v>
      </c>
      <c r="BE368" s="187"/>
    </row>
    <row r="369" spans="2:57" x14ac:dyDescent="0.3">
      <c r="B369" s="184" t="s">
        <v>469</v>
      </c>
      <c r="C369" s="184" t="s">
        <v>484</v>
      </c>
      <c r="D369" s="184" t="s">
        <v>94</v>
      </c>
      <c r="E369" s="184">
        <v>2009</v>
      </c>
      <c r="F369" s="185"/>
      <c r="H369" s="186">
        <f ca="1">IF(AND(E369&gt;=2018,SUMIF('DADOS BASE'!$C$101:$D$104,D369,'DADOS BASE'!$H$101:$H$104)&gt;J369),
SUMIF('DADOS BASE'!$C$101:$D$104,D369,'DADOS BASE'!$H$101:$H$104),
J369)</f>
        <v>2044302.1829947282</v>
      </c>
      <c r="J369" s="186">
        <f t="shared" si="250"/>
        <v>2044302.1829947282</v>
      </c>
      <c r="K369" s="186"/>
      <c r="L369" s="188">
        <v>2069.5898201744999</v>
      </c>
      <c r="M369" s="186">
        <f t="shared" si="251"/>
        <v>1.614598065053907E-3</v>
      </c>
      <c r="N369" s="186">
        <f>L369*'DADOS BASE'!$I$29</f>
        <v>2037999.8717579292</v>
      </c>
      <c r="O369" s="187"/>
      <c r="P369" s="188">
        <v>0</v>
      </c>
      <c r="Q369" s="186">
        <f>P369*'DADOS BASE'!$I$33</f>
        <v>0</v>
      </c>
      <c r="R369" s="186"/>
      <c r="S369" s="188">
        <v>8</v>
      </c>
      <c r="T369" s="186">
        <f>S369*'DADOS BASE'!$I$37</f>
        <v>6302.3112367990843</v>
      </c>
      <c r="U369" s="186"/>
      <c r="V369" s="186">
        <f t="shared" si="252"/>
        <v>6302.3112367990843</v>
      </c>
      <c r="W369" s="187"/>
      <c r="X369" s="186"/>
      <c r="Y369" s="186"/>
      <c r="Z369" s="185"/>
      <c r="AA369" s="186"/>
      <c r="AB369" s="186"/>
      <c r="AC369" s="186"/>
      <c r="AD369" s="186"/>
      <c r="AE369" s="188">
        <v>1276</v>
      </c>
      <c r="AF369" s="188">
        <v>1094.1541779929</v>
      </c>
      <c r="AG369" s="186" t="s">
        <v>155</v>
      </c>
      <c r="AH369" s="189">
        <v>0.70299999999999996</v>
      </c>
      <c r="AI369" s="183">
        <f t="shared" si="253"/>
        <v>769.19038712900863</v>
      </c>
      <c r="AJ369" s="186">
        <f t="shared" si="254"/>
        <v>-2.6067734638090465E-2</v>
      </c>
      <c r="AK369" s="186"/>
      <c r="AL369" s="186">
        <f t="shared" si="255"/>
        <v>184.36013031434496</v>
      </c>
      <c r="AM369" s="187">
        <f t="shared" si="256"/>
        <v>201718.40683875603</v>
      </c>
      <c r="AN369" s="186"/>
      <c r="AO369" s="188">
        <v>1.7212787212787</v>
      </c>
      <c r="AQ369" s="186">
        <f t="shared" si="257"/>
        <v>1883.3443043773661</v>
      </c>
      <c r="AR369" s="186">
        <f t="shared" si="258"/>
        <v>2.0038588309812793E-3</v>
      </c>
      <c r="AS369" s="187">
        <f>AR369*'DADOS BASE'!W$38</f>
        <v>601107.08732228074</v>
      </c>
      <c r="AU369" s="188">
        <v>8</v>
      </c>
      <c r="AV369" s="188">
        <v>10</v>
      </c>
      <c r="AW369" s="186">
        <f t="shared" si="259"/>
        <v>2</v>
      </c>
      <c r="AX369" s="186">
        <f>IF($AW$11&gt;0,(AW369/$AW$11)*'DADOS BASE'!W$40,0)</f>
        <v>359.35274853832442</v>
      </c>
      <c r="AY369" s="186">
        <f t="shared" si="260"/>
        <v>3.4425574425573999</v>
      </c>
      <c r="AZ369" s="186">
        <f t="shared" si="261"/>
        <v>1.800468402961707E-4</v>
      </c>
      <c r="BA369" s="186">
        <f>AZ369*'DADOS BASE'!W$41</f>
        <v>1330.1597278641464</v>
      </c>
      <c r="BC369" s="188">
        <v>0</v>
      </c>
      <c r="BD369" s="186">
        <f>IF($BC$11&gt;0,(BC369/$BC$11)*'DADOS BASE'!W$39,0)</f>
        <v>0</v>
      </c>
      <c r="BE369" s="187"/>
    </row>
    <row r="370" spans="2:57" x14ac:dyDescent="0.3">
      <c r="B370" s="223" t="s">
        <v>469</v>
      </c>
      <c r="C370" s="223" t="s">
        <v>485</v>
      </c>
      <c r="D370" s="223" t="s">
        <v>94</v>
      </c>
      <c r="E370" s="223">
        <v>2013</v>
      </c>
      <c r="F370" s="224"/>
      <c r="G370" s="225"/>
      <c r="H370" s="226">
        <f ca="1">IF(AND(E370&gt;=2018,SUMIF('DADOS BASE'!$C$101:$D$104,D370,'DADOS BASE'!$H$101:$H$104)&gt;J370),
SUMIF('DADOS BASE'!$C$101:$D$104,D370,'DADOS BASE'!$H$101:$H$104),
J370)</f>
        <v>2917670.9792879946</v>
      </c>
      <c r="I370" s="225"/>
      <c r="J370" s="226">
        <f t="shared" si="250"/>
        <v>2917670.9792879946</v>
      </c>
      <c r="K370" s="226"/>
      <c r="L370" s="227">
        <v>2962.8962400986002</v>
      </c>
      <c r="M370" s="226">
        <f t="shared" si="251"/>
        <v>2.3115143346691459E-3</v>
      </c>
      <c r="N370" s="226">
        <f>L370*'DADOS BASE'!$I$29</f>
        <v>2917670.9792879946</v>
      </c>
      <c r="O370" s="228"/>
      <c r="P370" s="227">
        <v>0</v>
      </c>
      <c r="Q370" s="226">
        <f>P370*'DADOS BASE'!$I$33</f>
        <v>0</v>
      </c>
      <c r="R370" s="226"/>
      <c r="S370" s="227">
        <v>0</v>
      </c>
      <c r="T370" s="226">
        <f>S370*'DADOS BASE'!$I$37</f>
        <v>0</v>
      </c>
      <c r="U370" s="226"/>
      <c r="V370" s="226">
        <f t="shared" si="252"/>
        <v>0</v>
      </c>
      <c r="W370" s="228"/>
      <c r="X370" s="226"/>
      <c r="Y370" s="226"/>
      <c r="Z370" s="224"/>
      <c r="AA370" s="226"/>
      <c r="AB370" s="226"/>
      <c r="AC370" s="226"/>
      <c r="AD370" s="226"/>
      <c r="AE370" s="227">
        <v>1383</v>
      </c>
      <c r="AF370" s="227">
        <v>1396.9973787065001</v>
      </c>
      <c r="AG370" s="226" t="s">
        <v>155</v>
      </c>
      <c r="AH370" s="229">
        <v>0.752</v>
      </c>
      <c r="AI370" s="225">
        <f t="shared" si="253"/>
        <v>1050.542028787288</v>
      </c>
      <c r="AJ370" s="226">
        <f t="shared" si="254"/>
        <v>4.0023174452819797E-2</v>
      </c>
      <c r="AK370" s="226"/>
      <c r="AL370" s="226">
        <f t="shared" si="255"/>
        <v>172.48515539673738</v>
      </c>
      <c r="AM370" s="228">
        <f t="shared" si="256"/>
        <v>240961.30995502544</v>
      </c>
      <c r="AN370" s="226"/>
      <c r="AO370" s="227">
        <v>1.864006514658</v>
      </c>
      <c r="AP370" s="225"/>
      <c r="AQ370" s="226">
        <f t="shared" si="257"/>
        <v>2604.0122148690652</v>
      </c>
      <c r="AR370" s="226">
        <f t="shared" si="258"/>
        <v>2.7706420226086019E-3</v>
      </c>
      <c r="AS370" s="228">
        <f>AR370*'DADOS BASE'!W$38</f>
        <v>831122.6971050679</v>
      </c>
      <c r="AT370" s="225"/>
      <c r="AU370" s="227">
        <v>0</v>
      </c>
      <c r="AV370" s="227">
        <v>0</v>
      </c>
      <c r="AW370" s="226">
        <f t="shared" si="259"/>
        <v>0</v>
      </c>
      <c r="AX370" s="226">
        <f>IF($AW$11&gt;0,(AW370/$AW$11)*'DADOS BASE'!W$40,0)</f>
        <v>0</v>
      </c>
      <c r="AY370" s="226">
        <f t="shared" si="260"/>
        <v>0</v>
      </c>
      <c r="AZ370" s="226">
        <f t="shared" si="261"/>
        <v>0</v>
      </c>
      <c r="BA370" s="226">
        <f>AZ370*'DADOS BASE'!W$41</f>
        <v>0</v>
      </c>
      <c r="BB370" s="225"/>
      <c r="BC370" s="227">
        <v>0</v>
      </c>
      <c r="BD370" s="226">
        <f>IF($BC$11&gt;0,(BC370/$BC$11)*'DADOS BASE'!W$39,0)</f>
        <v>0</v>
      </c>
      <c r="BE370" s="187"/>
    </row>
    <row r="371" spans="2:57" x14ac:dyDescent="0.3">
      <c r="B371" s="184" t="s">
        <v>469</v>
      </c>
      <c r="C371" s="184" t="s">
        <v>486</v>
      </c>
      <c r="D371" s="184" t="s">
        <v>94</v>
      </c>
      <c r="E371" s="184">
        <v>2010</v>
      </c>
      <c r="F371" s="185"/>
      <c r="H371" s="186">
        <f ca="1">IF(AND(E371&gt;=2018,SUMIF('DADOS BASE'!$C$101:$D$104,D371,'DADOS BASE'!$H$101:$H$104)&gt;J371),
SUMIF('DADOS BASE'!$C$101:$D$104,D371,'DADOS BASE'!$H$101:$H$104),
J371)</f>
        <v>1724715.8261321431</v>
      </c>
      <c r="J371" s="186">
        <f t="shared" si="250"/>
        <v>1724715.8261321431</v>
      </c>
      <c r="K371" s="186"/>
      <c r="L371" s="188">
        <v>1751.4497257441001</v>
      </c>
      <c r="M371" s="186">
        <f t="shared" si="251"/>
        <v>1.3663999071986078E-3</v>
      </c>
      <c r="N371" s="186">
        <f>L371*'DADOS BASE'!$I$29</f>
        <v>1724715.8261321431</v>
      </c>
      <c r="O371" s="187"/>
      <c r="P371" s="188">
        <v>0</v>
      </c>
      <c r="Q371" s="186">
        <f>P371*'DADOS BASE'!$I$33</f>
        <v>0</v>
      </c>
      <c r="R371" s="186"/>
      <c r="S371" s="188">
        <v>0</v>
      </c>
      <c r="T371" s="186">
        <f>S371*'DADOS BASE'!$I$37</f>
        <v>0</v>
      </c>
      <c r="U371" s="186"/>
      <c r="V371" s="186">
        <f t="shared" si="252"/>
        <v>0</v>
      </c>
      <c r="W371" s="187"/>
      <c r="X371" s="186"/>
      <c r="Y371" s="186"/>
      <c r="Z371" s="185"/>
      <c r="AA371" s="186"/>
      <c r="AB371" s="186"/>
      <c r="AC371" s="186"/>
      <c r="AD371" s="186"/>
      <c r="AE371" s="188">
        <v>918</v>
      </c>
      <c r="AF371" s="188">
        <v>865.44305802782003</v>
      </c>
      <c r="AG371" s="186" t="s">
        <v>155</v>
      </c>
      <c r="AH371" s="189">
        <v>0.755</v>
      </c>
      <c r="AI371" s="183">
        <f t="shared" si="253"/>
        <v>653.40950881100412</v>
      </c>
      <c r="AJ371" s="186">
        <f t="shared" si="254"/>
        <v>4.40695566420592E-2</v>
      </c>
      <c r="AK371" s="186"/>
      <c r="AL371" s="186">
        <f t="shared" si="255"/>
        <v>171.75811611606753</v>
      </c>
      <c r="AM371" s="187">
        <f t="shared" si="256"/>
        <v>148646.86925258688</v>
      </c>
      <c r="AN371" s="186"/>
      <c r="AO371" s="188">
        <v>1.5485564304462001</v>
      </c>
      <c r="AQ371" s="186">
        <f t="shared" si="257"/>
        <v>1340.1874126940045</v>
      </c>
      <c r="AR371" s="186">
        <f t="shared" si="258"/>
        <v>1.425945524594174E-3</v>
      </c>
      <c r="AS371" s="187">
        <f>AR371*'DADOS BASE'!W$38</f>
        <v>427747.67748948938</v>
      </c>
      <c r="AU371" s="188">
        <v>0</v>
      </c>
      <c r="AV371" s="188">
        <v>0</v>
      </c>
      <c r="AW371" s="186">
        <f t="shared" si="259"/>
        <v>0</v>
      </c>
      <c r="AX371" s="186">
        <f>IF($AW$11&gt;0,(AW371/$AW$11)*'DADOS BASE'!W$40,0)</f>
        <v>0</v>
      </c>
      <c r="AY371" s="186">
        <f t="shared" si="260"/>
        <v>0</v>
      </c>
      <c r="AZ371" s="186">
        <f t="shared" si="261"/>
        <v>0</v>
      </c>
      <c r="BA371" s="186">
        <f>AZ371*'DADOS BASE'!W$41</f>
        <v>0</v>
      </c>
      <c r="BC371" s="188">
        <v>0</v>
      </c>
      <c r="BD371" s="186">
        <f>IF($BC$11&gt;0,(BC371/$BC$11)*'DADOS BASE'!W$39,0)</f>
        <v>0</v>
      </c>
      <c r="BE371" s="187"/>
    </row>
    <row r="372" spans="2:57" x14ac:dyDescent="0.3">
      <c r="B372" s="223" t="s">
        <v>469</v>
      </c>
      <c r="C372" s="223" t="s">
        <v>487</v>
      </c>
      <c r="D372" s="223" t="s">
        <v>92</v>
      </c>
      <c r="E372" s="223">
        <v>2009</v>
      </c>
      <c r="F372" s="224"/>
      <c r="G372" s="225"/>
      <c r="H372" s="226">
        <f ca="1">IF(AND(E372&gt;=2018,SUMIF('DADOS BASE'!$C$101:$D$104,D372,'DADOS BASE'!$H$101:$H$104)&gt;J372),
SUMIF('DADOS BASE'!$C$101:$D$104,D372,'DADOS BASE'!$H$101:$H$104),
J372)</f>
        <v>4921140.7967908811</v>
      </c>
      <c r="I372" s="225"/>
      <c r="J372" s="226">
        <f t="shared" si="250"/>
        <v>4921140.7967908811</v>
      </c>
      <c r="K372" s="226"/>
      <c r="L372" s="227">
        <v>4997.4207740743004</v>
      </c>
      <c r="M372" s="226">
        <f t="shared" si="251"/>
        <v>3.8987560884891827E-3</v>
      </c>
      <c r="N372" s="226">
        <f>L372*'DADOS BASE'!$I$29</f>
        <v>4921140.7967908811</v>
      </c>
      <c r="O372" s="228"/>
      <c r="P372" s="227">
        <v>0</v>
      </c>
      <c r="Q372" s="226">
        <f>P372*'DADOS BASE'!$I$33</f>
        <v>0</v>
      </c>
      <c r="R372" s="226"/>
      <c r="S372" s="227">
        <v>0</v>
      </c>
      <c r="T372" s="226">
        <f>S372*'DADOS BASE'!$I$37</f>
        <v>0</v>
      </c>
      <c r="U372" s="226"/>
      <c r="V372" s="226">
        <f t="shared" si="252"/>
        <v>0</v>
      </c>
      <c r="W372" s="228"/>
      <c r="X372" s="226"/>
      <c r="Y372" s="226"/>
      <c r="Z372" s="224"/>
      <c r="AA372" s="226"/>
      <c r="AB372" s="226"/>
      <c r="AC372" s="226"/>
      <c r="AD372" s="226"/>
      <c r="AE372" s="227">
        <v>1681</v>
      </c>
      <c r="AF372" s="227">
        <v>1508.2549856541</v>
      </c>
      <c r="AG372" s="226" t="s">
        <v>155</v>
      </c>
      <c r="AH372" s="229">
        <v>0.65600000000000003</v>
      </c>
      <c r="AI372" s="225">
        <f t="shared" si="253"/>
        <v>989.41527058908969</v>
      </c>
      <c r="AJ372" s="226">
        <f t="shared" si="254"/>
        <v>-8.9461055602840983E-2</v>
      </c>
      <c r="AK372" s="226"/>
      <c r="AL372" s="226">
        <f t="shared" si="255"/>
        <v>195.7504123781726</v>
      </c>
      <c r="AM372" s="228">
        <f t="shared" si="256"/>
        <v>295241.53541322489</v>
      </c>
      <c r="AN372" s="226"/>
      <c r="AO372" s="227">
        <v>1.5008305647841</v>
      </c>
      <c r="AP372" s="225"/>
      <c r="AQ372" s="226">
        <f t="shared" si="257"/>
        <v>2263.6351819576776</v>
      </c>
      <c r="AR372" s="226">
        <f t="shared" si="258"/>
        <v>2.4084843854323339E-3</v>
      </c>
      <c r="AS372" s="228">
        <f>AR372*'DADOS BASE'!W$38</f>
        <v>722484.54402322555</v>
      </c>
      <c r="AT372" s="225"/>
      <c r="AU372" s="227">
        <v>0</v>
      </c>
      <c r="AV372" s="227">
        <v>0</v>
      </c>
      <c r="AW372" s="226">
        <f t="shared" si="259"/>
        <v>0</v>
      </c>
      <c r="AX372" s="226">
        <f>IF($AW$11&gt;0,(AW372/$AW$11)*'DADOS BASE'!W$40,0)</f>
        <v>0</v>
      </c>
      <c r="AY372" s="226">
        <f t="shared" si="260"/>
        <v>0</v>
      </c>
      <c r="AZ372" s="226">
        <f t="shared" si="261"/>
        <v>0</v>
      </c>
      <c r="BA372" s="226">
        <f>AZ372*'DADOS BASE'!W$41</f>
        <v>0</v>
      </c>
      <c r="BB372" s="225"/>
      <c r="BC372" s="227">
        <v>420</v>
      </c>
      <c r="BD372" s="226">
        <f>IF($BC$11&gt;0,(BC372/$BC$11)*'DADOS BASE'!W$39,0)</f>
        <v>2269345.6852558753</v>
      </c>
      <c r="BE372" s="187"/>
    </row>
    <row r="373" spans="2:57" x14ac:dyDescent="0.3">
      <c r="B373" s="184" t="s">
        <v>469</v>
      </c>
      <c r="C373" s="184" t="s">
        <v>488</v>
      </c>
      <c r="D373" s="184" t="s">
        <v>94</v>
      </c>
      <c r="E373" s="184">
        <v>2013</v>
      </c>
      <c r="F373" s="185"/>
      <c r="H373" s="186">
        <f ca="1">IF(AND(E373&gt;=2018,SUMIF('DADOS BASE'!$C$101:$D$104,D373,'DADOS BASE'!$H$101:$H$104)&gt;J373),
SUMIF('DADOS BASE'!$C$101:$D$104,D373,'DADOS BASE'!$H$101:$H$104),
J373)</f>
        <v>2865966.9834508002</v>
      </c>
      <c r="J373" s="186">
        <f t="shared" si="250"/>
        <v>2865966.9834508002</v>
      </c>
      <c r="K373" s="186"/>
      <c r="L373" s="188">
        <v>2910.3908082142002</v>
      </c>
      <c r="M373" s="186">
        <f t="shared" si="251"/>
        <v>2.2705520300139058E-3</v>
      </c>
      <c r="N373" s="186">
        <f>L373*'DADOS BASE'!$I$29</f>
        <v>2865966.9834508002</v>
      </c>
      <c r="O373" s="187"/>
      <c r="P373" s="188">
        <v>0</v>
      </c>
      <c r="Q373" s="186">
        <f>P373*'DADOS BASE'!$I$33</f>
        <v>0</v>
      </c>
      <c r="R373" s="186"/>
      <c r="S373" s="188">
        <v>0</v>
      </c>
      <c r="T373" s="186">
        <f>S373*'DADOS BASE'!$I$37</f>
        <v>0</v>
      </c>
      <c r="U373" s="186"/>
      <c r="V373" s="186">
        <f t="shared" si="252"/>
        <v>0</v>
      </c>
      <c r="W373" s="187"/>
      <c r="X373" s="186"/>
      <c r="Y373" s="186"/>
      <c r="Z373" s="185"/>
      <c r="AA373" s="186"/>
      <c r="AB373" s="186"/>
      <c r="AC373" s="186"/>
      <c r="AD373" s="186"/>
      <c r="AE373" s="188">
        <v>1221</v>
      </c>
      <c r="AF373" s="188">
        <v>926.42142428175998</v>
      </c>
      <c r="AG373" s="186" t="s">
        <v>155</v>
      </c>
      <c r="AH373" s="189">
        <v>0.74399999999999999</v>
      </c>
      <c r="AI373" s="183">
        <f t="shared" si="253"/>
        <v>689.25753966562945</v>
      </c>
      <c r="AJ373" s="186">
        <f t="shared" si="254"/>
        <v>2.9232821948181387E-2</v>
      </c>
      <c r="AK373" s="186"/>
      <c r="AL373" s="186">
        <f t="shared" si="255"/>
        <v>174.423926811857</v>
      </c>
      <c r="AM373" s="187">
        <f t="shared" si="256"/>
        <v>161590.06270585803</v>
      </c>
      <c r="AN373" s="186"/>
      <c r="AO373" s="188">
        <v>1.3019230769231001</v>
      </c>
      <c r="AQ373" s="186">
        <f t="shared" si="257"/>
        <v>1206.1294312283896</v>
      </c>
      <c r="AR373" s="186">
        <f t="shared" si="258"/>
        <v>1.2833092209724594E-3</v>
      </c>
      <c r="AS373" s="187">
        <f>AR373*'DADOS BASE'!W$38</f>
        <v>384960.38544532924</v>
      </c>
      <c r="AU373" s="188">
        <v>0</v>
      </c>
      <c r="AV373" s="188">
        <v>0</v>
      </c>
      <c r="AW373" s="186">
        <f t="shared" si="259"/>
        <v>0</v>
      </c>
      <c r="AX373" s="186">
        <f>IF($AW$11&gt;0,(AW373/$AW$11)*'DADOS BASE'!W$40,0)</f>
        <v>0</v>
      </c>
      <c r="AY373" s="186">
        <f t="shared" si="260"/>
        <v>0</v>
      </c>
      <c r="AZ373" s="186">
        <f t="shared" si="261"/>
        <v>0</v>
      </c>
      <c r="BA373" s="186">
        <f>AZ373*'DADOS BASE'!W$41</f>
        <v>0</v>
      </c>
      <c r="BC373" s="188">
        <v>0</v>
      </c>
      <c r="BD373" s="186">
        <f>IF($BC$11&gt;0,(BC373/$BC$11)*'DADOS BASE'!W$39,0)</f>
        <v>0</v>
      </c>
      <c r="BE373" s="187"/>
    </row>
    <row r="374" spans="2:57" x14ac:dyDescent="0.3">
      <c r="B374" s="223" t="s">
        <v>469</v>
      </c>
      <c r="C374" s="223" t="s">
        <v>489</v>
      </c>
      <c r="D374" s="223" t="s">
        <v>94</v>
      </c>
      <c r="E374" s="223">
        <v>2013</v>
      </c>
      <c r="F374" s="224"/>
      <c r="G374" s="225"/>
      <c r="H374" s="226">
        <f ca="1">IF(AND(E374&gt;=2018,SUMIF('DADOS BASE'!$C$101:$D$104,D374,'DADOS BASE'!$H$101:$H$104)&gt;J374),
SUMIF('DADOS BASE'!$C$101:$D$104,D374,'DADOS BASE'!$H$101:$H$104),
J374)</f>
        <v>1491337.3571697052</v>
      </c>
      <c r="I374" s="225"/>
      <c r="J374" s="226">
        <f t="shared" si="250"/>
        <v>1491337.3571697052</v>
      </c>
      <c r="K374" s="226"/>
      <c r="L374" s="227">
        <v>1482.5340696042999</v>
      </c>
      <c r="M374" s="226">
        <f t="shared" si="251"/>
        <v>1.1566043748503603E-3</v>
      </c>
      <c r="N374" s="226">
        <f>L374*'DADOS BASE'!$I$29</f>
        <v>1459904.8634069774</v>
      </c>
      <c r="O374" s="228"/>
      <c r="P374" s="227">
        <v>38.078848297329998</v>
      </c>
      <c r="Q374" s="226">
        <f>P374*'DADOS BASE'!$I$33</f>
        <v>9374.4044339308803</v>
      </c>
      <c r="R374" s="226"/>
      <c r="S374" s="227">
        <v>28</v>
      </c>
      <c r="T374" s="226">
        <f>S374*'DADOS BASE'!$I$37</f>
        <v>22058.089328796796</v>
      </c>
      <c r="U374" s="226"/>
      <c r="V374" s="226">
        <f t="shared" si="252"/>
        <v>31432.493762727674</v>
      </c>
      <c r="W374" s="228"/>
      <c r="X374" s="226"/>
      <c r="Y374" s="226"/>
      <c r="Z374" s="224"/>
      <c r="AA374" s="226"/>
      <c r="AB374" s="226"/>
      <c r="AC374" s="226"/>
      <c r="AD374" s="226"/>
      <c r="AE374" s="227">
        <v>992</v>
      </c>
      <c r="AF374" s="227">
        <v>806.027926804</v>
      </c>
      <c r="AG374" s="226" t="s">
        <v>155</v>
      </c>
      <c r="AH374" s="229">
        <v>0.73399999999999999</v>
      </c>
      <c r="AI374" s="225">
        <f t="shared" si="253"/>
        <v>591.62449827413604</v>
      </c>
      <c r="AJ374" s="226">
        <f t="shared" si="254"/>
        <v>1.5744881317383375E-2</v>
      </c>
      <c r="AK374" s="226"/>
      <c r="AL374" s="226">
        <f t="shared" si="255"/>
        <v>176.84739108075649</v>
      </c>
      <c r="AM374" s="228">
        <f t="shared" si="256"/>
        <v>142543.93599351836</v>
      </c>
      <c r="AN374" s="226"/>
      <c r="AO374" s="227">
        <v>1.3793650793651</v>
      </c>
      <c r="AP374" s="225"/>
      <c r="AQ374" s="226">
        <f t="shared" si="257"/>
        <v>1111.8067752264865</v>
      </c>
      <c r="AR374" s="226">
        <f t="shared" si="258"/>
        <v>1.1829508920404006E-3</v>
      </c>
      <c r="AS374" s="228">
        <f>AR374*'DADOS BASE'!W$38</f>
        <v>354855.41903742123</v>
      </c>
      <c r="AT374" s="225"/>
      <c r="AU374" s="227">
        <v>11.2</v>
      </c>
      <c r="AV374" s="227">
        <v>98.75</v>
      </c>
      <c r="AW374" s="226">
        <f t="shared" si="259"/>
        <v>2.8</v>
      </c>
      <c r="AX374" s="226">
        <f>IF($AW$11&gt;0,(AW374/$AW$11)*'DADOS BASE'!W$40,0)</f>
        <v>503.09384795365412</v>
      </c>
      <c r="AY374" s="226">
        <f t="shared" si="260"/>
        <v>3.8622222222222797</v>
      </c>
      <c r="AZ374" s="226">
        <f t="shared" si="261"/>
        <v>2.0199544066756172E-4</v>
      </c>
      <c r="BA374" s="226">
        <f>AZ374*'DADOS BASE'!W$41</f>
        <v>1492.3127778648206</v>
      </c>
      <c r="BB374" s="225"/>
      <c r="BC374" s="227">
        <v>0</v>
      </c>
      <c r="BD374" s="226">
        <f>IF($BC$11&gt;0,(BC374/$BC$11)*'DADOS BASE'!W$39,0)</f>
        <v>0</v>
      </c>
      <c r="BE374" s="187"/>
    </row>
    <row r="375" spans="2:57" x14ac:dyDescent="0.3">
      <c r="F375" s="185"/>
      <c r="H375" s="186"/>
      <c r="J375" s="186"/>
      <c r="K375" s="186"/>
      <c r="L375" s="186"/>
      <c r="M375" s="186"/>
      <c r="N375" s="186"/>
      <c r="O375" s="187"/>
      <c r="P375" s="186"/>
      <c r="Q375" s="186"/>
      <c r="R375" s="186"/>
      <c r="S375" s="186"/>
      <c r="T375" s="186"/>
      <c r="U375" s="186"/>
      <c r="V375" s="186"/>
      <c r="W375" s="187"/>
      <c r="X375" s="186"/>
      <c r="Y375" s="186"/>
      <c r="Z375" s="185"/>
      <c r="AA375" s="186"/>
      <c r="AB375" s="186"/>
      <c r="AC375" s="186"/>
      <c r="AD375" s="186"/>
      <c r="AE375" s="186"/>
      <c r="AF375" s="186"/>
      <c r="AG375" s="186"/>
      <c r="AH375" s="185"/>
      <c r="AJ375" s="186"/>
      <c r="AK375" s="186"/>
      <c r="AL375" s="186"/>
      <c r="AM375" s="187"/>
      <c r="AN375" s="186"/>
      <c r="AO375" s="186"/>
      <c r="AQ375" s="186"/>
      <c r="AR375" s="186"/>
      <c r="AS375" s="187"/>
      <c r="AU375" s="186"/>
      <c r="AV375" s="186"/>
      <c r="AW375" s="186"/>
      <c r="AX375" s="186"/>
      <c r="AY375" s="186"/>
      <c r="AZ375" s="186"/>
      <c r="BA375" s="186"/>
      <c r="BC375" s="186"/>
      <c r="BD375" s="186"/>
      <c r="BE375" s="187"/>
    </row>
    <row r="376" spans="2:57" x14ac:dyDescent="0.3">
      <c r="B376" s="209" t="s">
        <v>490</v>
      </c>
      <c r="C376" s="209" t="s">
        <v>491</v>
      </c>
      <c r="D376" s="211" t="s">
        <v>154</v>
      </c>
      <c r="E376" s="211"/>
      <c r="F376" s="210"/>
      <c r="G376" s="211"/>
      <c r="H376" s="212">
        <f ca="1">SUM(H377:H395)</f>
        <v>34945087.902664416</v>
      </c>
      <c r="I376" s="211"/>
      <c r="J376" s="212">
        <f>SUM(J377:J395)</f>
        <v>34945087.902664416</v>
      </c>
      <c r="K376" s="212"/>
      <c r="L376" s="212">
        <f>SUM(L377:L395)</f>
        <v>35457.118245612073</v>
      </c>
      <c r="M376" s="212">
        <f>SUM(M377:M395)</f>
        <v>2.7662000437809378E-2</v>
      </c>
      <c r="N376" s="212">
        <f>SUM(N377:N395)</f>
        <v>34915905.428724192</v>
      </c>
      <c r="O376" s="214"/>
      <c r="P376" s="212">
        <f>SUM(P377:P395)</f>
        <v>0</v>
      </c>
      <c r="Q376" s="212">
        <f>SUM(Q377:Q395)</f>
        <v>0</v>
      </c>
      <c r="R376" s="212"/>
      <c r="S376" s="212">
        <f>SUM(S377:S395)</f>
        <v>37.043519869130193</v>
      </c>
      <c r="T376" s="212">
        <f>SUM(T377:T395)</f>
        <v>29182.473940226177</v>
      </c>
      <c r="U376" s="212"/>
      <c r="V376" s="212">
        <f>SUM(V377:V395)</f>
        <v>29182.473940226177</v>
      </c>
      <c r="W376" s="214"/>
      <c r="X376" s="212">
        <f>SUMIF(INDICADORES!$D$13:$D$53,C376,INDICADORES!$L$13:$L$53)</f>
        <v>2.7096631776457384E-2</v>
      </c>
      <c r="Y376" s="212">
        <f>X376*'DADOS BASE'!$I$79</f>
        <v>1125139.3085688085</v>
      </c>
      <c r="Z376" s="210">
        <f>SUMIF(INDICADORES!$D$13:$D$53,C376,INDICADORES!$R$13:$R$53)</f>
        <v>1.0682560605192274E-2</v>
      </c>
      <c r="AA376" s="212">
        <f>Z376*'DADOS BASE'!$I$84</f>
        <v>443574.27713629429</v>
      </c>
      <c r="AB376" s="212">
        <f>SUMIF(INDICADORES!$D$13:$D$53,C376,INDICADORES!$Z$13:$Z$53)</f>
        <v>3.92195131398098E-2</v>
      </c>
      <c r="AC376" s="212">
        <f>AB376*'DADOS BASE'!$I$89</f>
        <v>3257040.6728463219</v>
      </c>
      <c r="AD376" s="212"/>
      <c r="AE376" s="212">
        <f>SUM(AE377:AE395)</f>
        <v>22803</v>
      </c>
      <c r="AF376" s="212">
        <f>SUM(AF377:AF395)</f>
        <v>14946.276911126934</v>
      </c>
      <c r="AG376" s="212" t="s">
        <v>155</v>
      </c>
      <c r="AH376" s="210"/>
      <c r="AI376" s="211"/>
      <c r="AJ376" s="212"/>
      <c r="AK376" s="212"/>
      <c r="AL376" s="212"/>
      <c r="AM376" s="214">
        <f>SUM(AM377:AM395)</f>
        <v>2897583.2663324554</v>
      </c>
      <c r="AN376" s="212"/>
      <c r="AO376" s="212"/>
      <c r="AP376" s="211"/>
      <c r="AQ376" s="212">
        <f>SUM(AQ377:AQ395)</f>
        <v>27687.467116861539</v>
      </c>
      <c r="AR376" s="212"/>
      <c r="AS376" s="214">
        <f>SUM(AS377:AS395)</f>
        <v>8837010.1394977178</v>
      </c>
      <c r="AT376" s="211"/>
      <c r="AU376" s="212">
        <f t="shared" ref="AU376:BA376" si="262">SUM(AU377:AU395)</f>
        <v>37.043519869130193</v>
      </c>
      <c r="AV376" s="212">
        <f t="shared" si="262"/>
        <v>154</v>
      </c>
      <c r="AW376" s="212">
        <f t="shared" si="262"/>
        <v>9.2608799672825484</v>
      </c>
      <c r="AX376" s="212">
        <f t="shared" si="262"/>
        <v>1663.9613350632458</v>
      </c>
      <c r="AY376" s="212">
        <f t="shared" si="262"/>
        <v>17.578806226104525</v>
      </c>
      <c r="AZ376" s="212">
        <f t="shared" si="262"/>
        <v>9.1937711134822977E-4</v>
      </c>
      <c r="BA376" s="212">
        <f t="shared" si="262"/>
        <v>6792.2236581537818</v>
      </c>
      <c r="BB376" s="211"/>
      <c r="BC376" s="212">
        <f>SUM(BC377:BC395)</f>
        <v>507.5</v>
      </c>
      <c r="BD376" s="212">
        <f>SUM(BD377:BD395)</f>
        <v>2742126.0363508491</v>
      </c>
      <c r="BE376" s="187"/>
    </row>
    <row r="377" spans="2:57" x14ac:dyDescent="0.3">
      <c r="B377" s="216" t="s">
        <v>490</v>
      </c>
      <c r="C377" s="218" t="s">
        <v>156</v>
      </c>
      <c r="D377" s="218" t="s">
        <v>157</v>
      </c>
      <c r="E377" s="218"/>
      <c r="F377" s="217"/>
      <c r="G377" s="218"/>
      <c r="H377" s="219"/>
      <c r="I377" s="218"/>
      <c r="J377" s="219"/>
      <c r="K377" s="219"/>
      <c r="L377" s="219">
        <v>0</v>
      </c>
      <c r="M377" s="219">
        <v>0</v>
      </c>
      <c r="N377" s="219">
        <v>0</v>
      </c>
      <c r="O377" s="221"/>
      <c r="P377" s="219"/>
      <c r="Q377" s="219"/>
      <c r="R377" s="219"/>
      <c r="S377" s="219"/>
      <c r="T377" s="219"/>
      <c r="U377" s="219"/>
      <c r="V377" s="219"/>
      <c r="W377" s="221"/>
      <c r="X377" s="219"/>
      <c r="Y377" s="219"/>
      <c r="Z377" s="217"/>
      <c r="AA377" s="219"/>
      <c r="AB377" s="219"/>
      <c r="AC377" s="219"/>
      <c r="AD377" s="219"/>
      <c r="AE377" s="219"/>
      <c r="AF377" s="219"/>
      <c r="AG377" s="219" t="s">
        <v>155</v>
      </c>
      <c r="AH377" s="217"/>
      <c r="AI377" s="218"/>
      <c r="AJ377" s="219"/>
      <c r="AK377" s="219"/>
      <c r="AL377" s="219"/>
      <c r="AM377" s="221"/>
      <c r="AN377" s="219"/>
      <c r="AO377" s="219"/>
      <c r="AP377" s="218"/>
      <c r="AQ377" s="219"/>
      <c r="AR377" s="219"/>
      <c r="AS377" s="221"/>
      <c r="AT377" s="218"/>
      <c r="AU377" s="219"/>
      <c r="AV377" s="219"/>
      <c r="AW377" s="219"/>
      <c r="AX377" s="219"/>
      <c r="AY377" s="219"/>
      <c r="AZ377" s="219"/>
      <c r="BA377" s="219"/>
      <c r="BB377" s="218"/>
      <c r="BC377" s="219"/>
      <c r="BD377" s="219"/>
      <c r="BE377" s="187"/>
    </row>
    <row r="378" spans="2:57" x14ac:dyDescent="0.3">
      <c r="B378" s="223" t="s">
        <v>490</v>
      </c>
      <c r="C378" s="223" t="s">
        <v>492</v>
      </c>
      <c r="D378" s="223" t="s">
        <v>94</v>
      </c>
      <c r="E378" s="223">
        <v>2009</v>
      </c>
      <c r="F378" s="224"/>
      <c r="G378" s="225"/>
      <c r="H378" s="226">
        <f ca="1">IF(AND(E378&gt;=2018,SUMIF('DADOS BASE'!$C$101:$D$104,D378,'DADOS BASE'!$H$101:$H$104)&gt;J378),
SUMIF('DADOS BASE'!$C$101:$D$104,D378,'DADOS BASE'!$H$101:$H$104),
J378)</f>
        <v>2291860.2334263609</v>
      </c>
      <c r="I378" s="225"/>
      <c r="J378" s="226">
        <f t="shared" ref="J378:J395" si="263">N378+Q378+T378</f>
        <v>2291860.2334263609</v>
      </c>
      <c r="K378" s="226"/>
      <c r="L378" s="227">
        <v>2321.5499709993001</v>
      </c>
      <c r="M378" s="226">
        <f t="shared" ref="M378:M395" si="264">L378/$L$11</f>
        <v>1.8111656979378531E-3</v>
      </c>
      <c r="N378" s="226">
        <f>L378*'DADOS BASE'!$I$29</f>
        <v>2286114.1357842931</v>
      </c>
      <c r="O378" s="228"/>
      <c r="P378" s="227">
        <v>0</v>
      </c>
      <c r="Q378" s="226">
        <f>P378*'DADOS BASE'!$I$33</f>
        <v>0</v>
      </c>
      <c r="R378" s="226"/>
      <c r="S378" s="227">
        <v>7.2939560439560003</v>
      </c>
      <c r="T378" s="226">
        <f>S378*'DADOS BASE'!$I$37</f>
        <v>5746.0976420678116</v>
      </c>
      <c r="U378" s="226"/>
      <c r="V378" s="226">
        <f t="shared" ref="V378:V395" si="265">T378+Q378</f>
        <v>5746.0976420678116</v>
      </c>
      <c r="W378" s="228"/>
      <c r="X378" s="226"/>
      <c r="Y378" s="226"/>
      <c r="Z378" s="224"/>
      <c r="AA378" s="226"/>
      <c r="AB378" s="226"/>
      <c r="AC378" s="226"/>
      <c r="AD378" s="226"/>
      <c r="AE378" s="227">
        <v>1538</v>
      </c>
      <c r="AF378" s="227">
        <v>1046.9341111174001</v>
      </c>
      <c r="AG378" s="226" t="s">
        <v>155</v>
      </c>
      <c r="AH378" s="229">
        <v>0.628</v>
      </c>
      <c r="AI378" s="225">
        <f t="shared" ref="AI378:AI395" si="266">AF378*AH378</f>
        <v>657.47462178172725</v>
      </c>
      <c r="AJ378" s="226">
        <f t="shared" ref="AJ378:AJ395" si="267">(AH378-$AI$12)*$AJ$12</f>
        <v>-0.1272272893690754</v>
      </c>
      <c r="AK378" s="226"/>
      <c r="AL378" s="226">
        <f t="shared" ref="AL378:AL395" si="268">$AL$11-(AJ378*$AL$11)</f>
        <v>202.5361123310912</v>
      </c>
      <c r="AM378" s="228">
        <f t="shared" ref="AM378:AM395" si="269">AF378*AL378</f>
        <v>212041.96473252488</v>
      </c>
      <c r="AN378" s="226"/>
      <c r="AO378" s="227">
        <v>2.1616263440860002</v>
      </c>
      <c r="AP378" s="225"/>
      <c r="AQ378" s="226">
        <f t="shared" ref="AQ378:AQ395" si="270">AF378*AO378</f>
        <v>2263.0803551136319</v>
      </c>
      <c r="AR378" s="226">
        <f t="shared" ref="AR378:AR395" si="271">AQ378/$AQ$11</f>
        <v>2.4078940554175181E-3</v>
      </c>
      <c r="AS378" s="228">
        <f>AR378*'DADOS BASE'!W$38</f>
        <v>722307.45991416636</v>
      </c>
      <c r="AT378" s="225"/>
      <c r="AU378" s="227">
        <v>7.2939560439560003</v>
      </c>
      <c r="AV378" s="227">
        <v>22.5</v>
      </c>
      <c r="AW378" s="226">
        <f t="shared" ref="AW378:AW395" si="272">AU378/4</f>
        <v>1.8234890109890001</v>
      </c>
      <c r="AX378" s="226">
        <f>IF($AW$11&gt;0,(AW378/$AW$11)*'DADOS BASE'!W$40,0)</f>
        <v>327.63789401416398</v>
      </c>
      <c r="AY378" s="226">
        <f t="shared" ref="AY378:AY395" si="273">AO378*AW378</f>
        <v>3.9417018843051483</v>
      </c>
      <c r="AZ378" s="226">
        <f t="shared" ref="AZ378:AZ395" si="274">IF($AY$11&gt;0,AY378/$AY$11,0)</f>
        <v>2.0615225206856399E-4</v>
      </c>
      <c r="BA378" s="226">
        <f>AZ378*'DADOS BASE'!W$41</f>
        <v>1523.0226926450209</v>
      </c>
      <c r="BB378" s="225"/>
      <c r="BC378" s="227">
        <v>0</v>
      </c>
      <c r="BD378" s="226">
        <f>IF($BC$11&gt;0,(BC378/$BC$11)*'DADOS BASE'!W$39,0)</f>
        <v>0</v>
      </c>
      <c r="BE378" s="187"/>
    </row>
    <row r="379" spans="2:57" x14ac:dyDescent="0.3">
      <c r="B379" s="184" t="s">
        <v>490</v>
      </c>
      <c r="C379" s="184" t="s">
        <v>493</v>
      </c>
      <c r="D379" s="184" t="s">
        <v>94</v>
      </c>
      <c r="E379" s="184">
        <v>2009</v>
      </c>
      <c r="F379" s="185"/>
      <c r="H379" s="186">
        <f ca="1">IF(AND(E379&gt;=2018,SUMIF('DADOS BASE'!$C$101:$D$104,D379,'DADOS BASE'!$H$101:$H$104)&gt;J379),
SUMIF('DADOS BASE'!$C$101:$D$104,D379,'DADOS BASE'!$H$101:$H$104),
J379)</f>
        <v>506947.99109366792</v>
      </c>
      <c r="J379" s="186">
        <f t="shared" si="263"/>
        <v>506947.99109366792</v>
      </c>
      <c r="K379" s="186"/>
      <c r="L379" s="188">
        <v>513.55317411386</v>
      </c>
      <c r="M379" s="186">
        <f t="shared" si="264"/>
        <v>4.0065038644064127E-4</v>
      </c>
      <c r="N379" s="186">
        <f>L379*'DADOS BASE'!$I$29</f>
        <v>505714.36561119003</v>
      </c>
      <c r="O379" s="187"/>
      <c r="P379" s="188">
        <v>0</v>
      </c>
      <c r="Q379" s="186">
        <f>P379*'DADOS BASE'!$I$33</f>
        <v>0</v>
      </c>
      <c r="R379" s="186"/>
      <c r="S379" s="188">
        <v>1.5659340659340999</v>
      </c>
      <c r="T379" s="186">
        <f>S379*'DADOS BASE'!$I$37</f>
        <v>1233.6254824778696</v>
      </c>
      <c r="U379" s="186"/>
      <c r="V379" s="186">
        <f t="shared" si="265"/>
        <v>1233.6254824778696</v>
      </c>
      <c r="W379" s="187"/>
      <c r="X379" s="186"/>
      <c r="Y379" s="186"/>
      <c r="Z379" s="185"/>
      <c r="AA379" s="186"/>
      <c r="AB379" s="186"/>
      <c r="AC379" s="186"/>
      <c r="AD379" s="186"/>
      <c r="AE379" s="188">
        <v>562</v>
      </c>
      <c r="AF379" s="188">
        <v>271.27380264609002</v>
      </c>
      <c r="AG379" s="186" t="s">
        <v>155</v>
      </c>
      <c r="AH379" s="189">
        <v>0.66500000000000004</v>
      </c>
      <c r="AI379" s="183">
        <f t="shared" si="266"/>
        <v>180.39707875964987</v>
      </c>
      <c r="AJ379" s="186">
        <f t="shared" si="267"/>
        <v>-7.732190903512276E-2</v>
      </c>
      <c r="AK379" s="186"/>
      <c r="AL379" s="186">
        <f t="shared" si="268"/>
        <v>193.56929453616306</v>
      </c>
      <c r="AM379" s="187">
        <f t="shared" si="269"/>
        <v>52510.278604345971</v>
      </c>
      <c r="AN379" s="186"/>
      <c r="AO379" s="188">
        <v>1.7704174228675</v>
      </c>
      <c r="AQ379" s="186">
        <f t="shared" si="270"/>
        <v>480.26786657215752</v>
      </c>
      <c r="AR379" s="186">
        <f t="shared" si="271"/>
        <v>5.1100003511324093E-4</v>
      </c>
      <c r="AS379" s="187">
        <f>AR379*'DADOS BASE'!W$38</f>
        <v>153287.1168265311</v>
      </c>
      <c r="AU379" s="188">
        <v>1.5659340659340999</v>
      </c>
      <c r="AV379" s="188">
        <v>7.5</v>
      </c>
      <c r="AW379" s="186">
        <f t="shared" si="272"/>
        <v>0.39148351648352497</v>
      </c>
      <c r="AX379" s="186">
        <f>IF($AW$11&gt;0,(AW379/$AW$11)*'DADOS BASE'!W$40,0)</f>
        <v>70.340338827901562</v>
      </c>
      <c r="AY379" s="186">
        <f t="shared" si="273"/>
        <v>0.69308923834786873</v>
      </c>
      <c r="AZ379" s="186">
        <f t="shared" si="274"/>
        <v>3.6248785819855675E-5</v>
      </c>
      <c r="BA379" s="186">
        <f>AZ379*'DADOS BASE'!W$41</f>
        <v>267.80072897824931</v>
      </c>
      <c r="BC379" s="188">
        <v>0</v>
      </c>
      <c r="BD379" s="186">
        <f>IF($BC$11&gt;0,(BC379/$BC$11)*'DADOS BASE'!W$39,0)</f>
        <v>0</v>
      </c>
      <c r="BE379" s="187"/>
    </row>
    <row r="380" spans="2:57" x14ac:dyDescent="0.3">
      <c r="B380" s="223" t="s">
        <v>490</v>
      </c>
      <c r="C380" s="223" t="s">
        <v>494</v>
      </c>
      <c r="D380" s="223" t="s">
        <v>94</v>
      </c>
      <c r="E380" s="223">
        <v>2016</v>
      </c>
      <c r="F380" s="224"/>
      <c r="G380" s="225"/>
      <c r="H380" s="226">
        <f ca="1">IF(AND(E380&gt;=2018,SUMIF('DADOS BASE'!$C$101:$D$104,D380,'DADOS BASE'!$H$101:$H$104)&gt;J380),
SUMIF('DADOS BASE'!$C$101:$D$104,D380,'DADOS BASE'!$H$101:$H$104),
J380)</f>
        <v>483593.04329980159</v>
      </c>
      <c r="I380" s="225"/>
      <c r="J380" s="226">
        <f t="shared" si="263"/>
        <v>483593.04329980159</v>
      </c>
      <c r="K380" s="226"/>
      <c r="L380" s="227">
        <v>491.08896099054999</v>
      </c>
      <c r="M380" s="226">
        <f t="shared" si="264"/>
        <v>3.8312484843872128E-4</v>
      </c>
      <c r="N380" s="226">
        <f>L380*'DADOS BASE'!$I$29</f>
        <v>483593.04329980159</v>
      </c>
      <c r="O380" s="228"/>
      <c r="P380" s="227">
        <v>0</v>
      </c>
      <c r="Q380" s="226">
        <f>P380*'DADOS BASE'!$I$33</f>
        <v>0</v>
      </c>
      <c r="R380" s="226"/>
      <c r="S380" s="227">
        <v>0</v>
      </c>
      <c r="T380" s="226">
        <f>S380*'DADOS BASE'!$I$37</f>
        <v>0</v>
      </c>
      <c r="U380" s="226"/>
      <c r="V380" s="226">
        <f t="shared" si="265"/>
        <v>0</v>
      </c>
      <c r="W380" s="228"/>
      <c r="X380" s="226"/>
      <c r="Y380" s="226"/>
      <c r="Z380" s="224"/>
      <c r="AA380" s="226"/>
      <c r="AB380" s="226"/>
      <c r="AC380" s="226"/>
      <c r="AD380" s="226"/>
      <c r="AE380" s="227">
        <v>446</v>
      </c>
      <c r="AF380" s="227">
        <v>314.97551992029997</v>
      </c>
      <c r="AG380" s="226" t="s">
        <v>155</v>
      </c>
      <c r="AH380" s="229">
        <v>0.71799999999999997</v>
      </c>
      <c r="AI380" s="225">
        <f t="shared" si="266"/>
        <v>226.15242330277536</v>
      </c>
      <c r="AJ380" s="226">
        <f t="shared" si="267"/>
        <v>-5.8358236918934457E-3</v>
      </c>
      <c r="AK380" s="226"/>
      <c r="AL380" s="226">
        <f t="shared" si="268"/>
        <v>180.7249339109957</v>
      </c>
      <c r="AM380" s="228">
        <f t="shared" si="269"/>
        <v>56923.930021177723</v>
      </c>
      <c r="AN380" s="226"/>
      <c r="AO380" s="227">
        <v>1.6661721068249</v>
      </c>
      <c r="AP380" s="225"/>
      <c r="AQ380" s="226">
        <f t="shared" si="270"/>
        <v>524.80342562387443</v>
      </c>
      <c r="AR380" s="226">
        <f t="shared" si="271"/>
        <v>5.5838540861666676E-4</v>
      </c>
      <c r="AS380" s="228">
        <f>AR380*'DADOS BASE'!W$38</f>
        <v>167501.53323548261</v>
      </c>
      <c r="AT380" s="225"/>
      <c r="AU380" s="227">
        <v>0</v>
      </c>
      <c r="AV380" s="227">
        <v>0</v>
      </c>
      <c r="AW380" s="226">
        <f t="shared" si="272"/>
        <v>0</v>
      </c>
      <c r="AX380" s="226">
        <f>IF($AW$11&gt;0,(AW380/$AW$11)*'DADOS BASE'!W$40,0)</f>
        <v>0</v>
      </c>
      <c r="AY380" s="226">
        <f t="shared" si="273"/>
        <v>0</v>
      </c>
      <c r="AZ380" s="226">
        <f t="shared" si="274"/>
        <v>0</v>
      </c>
      <c r="BA380" s="226">
        <f>AZ380*'DADOS BASE'!W$41</f>
        <v>0</v>
      </c>
      <c r="BB380" s="225"/>
      <c r="BC380" s="227">
        <v>0</v>
      </c>
      <c r="BD380" s="226">
        <f>IF($BC$11&gt;0,(BC380/$BC$11)*'DADOS BASE'!W$39,0)</f>
        <v>0</v>
      </c>
      <c r="BE380" s="187"/>
    </row>
    <row r="381" spans="2:57" x14ac:dyDescent="0.3">
      <c r="B381" s="184" t="s">
        <v>490</v>
      </c>
      <c r="C381" s="184" t="s">
        <v>495</v>
      </c>
      <c r="D381" s="184" t="s">
        <v>98</v>
      </c>
      <c r="E381" s="184">
        <v>2014</v>
      </c>
      <c r="F381" s="185"/>
      <c r="H381" s="186">
        <f ca="1">IF(AND(E381&gt;=2018,SUMIF('DADOS BASE'!$C$101:$D$104,D381,'DADOS BASE'!$H$101:$H$104)&gt;J381),
SUMIF('DADOS BASE'!$C$101:$D$104,D381,'DADOS BASE'!$H$101:$H$104),
J381)</f>
        <v>170471.91521519196</v>
      </c>
      <c r="J381" s="186">
        <f t="shared" si="263"/>
        <v>170471.91521519196</v>
      </c>
      <c r="K381" s="186"/>
      <c r="L381" s="188">
        <v>173.11430939919001</v>
      </c>
      <c r="M381" s="186">
        <f t="shared" si="264"/>
        <v>1.3505576141919194E-4</v>
      </c>
      <c r="N381" s="186">
        <f>L381*'DADOS BASE'!$I$29</f>
        <v>170471.91521519196</v>
      </c>
      <c r="O381" s="187"/>
      <c r="P381" s="188">
        <v>0</v>
      </c>
      <c r="Q381" s="186">
        <f>P381*'DADOS BASE'!$I$33</f>
        <v>0</v>
      </c>
      <c r="R381" s="186"/>
      <c r="S381" s="188">
        <v>0</v>
      </c>
      <c r="T381" s="186">
        <f>S381*'DADOS BASE'!$I$37</f>
        <v>0</v>
      </c>
      <c r="U381" s="186"/>
      <c r="V381" s="186">
        <f t="shared" si="265"/>
        <v>0</v>
      </c>
      <c r="W381" s="187"/>
      <c r="X381" s="186"/>
      <c r="Y381" s="186"/>
      <c r="Z381" s="185"/>
      <c r="AA381" s="186"/>
      <c r="AB381" s="186"/>
      <c r="AC381" s="186"/>
      <c r="AD381" s="186"/>
      <c r="AE381" s="188">
        <v>355</v>
      </c>
      <c r="AF381" s="188">
        <v>90.806700993584997</v>
      </c>
      <c r="AG381" s="186" t="s">
        <v>155</v>
      </c>
      <c r="AH381" s="189">
        <v>0.61699999999999999</v>
      </c>
      <c r="AI381" s="183">
        <f t="shared" si="266"/>
        <v>56.027734513041942</v>
      </c>
      <c r="AJ381" s="186">
        <f t="shared" si="267"/>
        <v>-0.14206402406295324</v>
      </c>
      <c r="AK381" s="186"/>
      <c r="AL381" s="186">
        <f t="shared" si="268"/>
        <v>205.20192302688065</v>
      </c>
      <c r="AM381" s="187">
        <f t="shared" si="269"/>
        <v>18633.709667610594</v>
      </c>
      <c r="AN381" s="186"/>
      <c r="AO381" s="188">
        <v>2.0983050847458</v>
      </c>
      <c r="AQ381" s="186">
        <f t="shared" si="270"/>
        <v>190.54016242383088</v>
      </c>
      <c r="AR381" s="186">
        <f t="shared" si="271"/>
        <v>2.0273275908295964E-4</v>
      </c>
      <c r="AS381" s="187">
        <f>AR381*'DADOS BASE'!W$38</f>
        <v>60814.712310592906</v>
      </c>
      <c r="AU381" s="188">
        <v>0</v>
      </c>
      <c r="AV381" s="188">
        <v>0</v>
      </c>
      <c r="AW381" s="186">
        <f t="shared" si="272"/>
        <v>0</v>
      </c>
      <c r="AX381" s="186">
        <f>IF($AW$11&gt;0,(AW381/$AW$11)*'DADOS BASE'!W$40,0)</f>
        <v>0</v>
      </c>
      <c r="AY381" s="186">
        <f t="shared" si="273"/>
        <v>0</v>
      </c>
      <c r="AZ381" s="186">
        <f t="shared" si="274"/>
        <v>0</v>
      </c>
      <c r="BA381" s="186">
        <f>AZ381*'DADOS BASE'!W$41</f>
        <v>0</v>
      </c>
      <c r="BC381" s="188">
        <v>0</v>
      </c>
      <c r="BD381" s="186">
        <f>IF($BC$11&gt;0,(BC381/$BC$11)*'DADOS BASE'!W$39,0)</f>
        <v>0</v>
      </c>
      <c r="BE381" s="187"/>
    </row>
    <row r="382" spans="2:57" x14ac:dyDescent="0.3">
      <c r="B382" s="223" t="s">
        <v>490</v>
      </c>
      <c r="C382" s="223" t="s">
        <v>496</v>
      </c>
      <c r="D382" s="223" t="s">
        <v>94</v>
      </c>
      <c r="E382" s="223">
        <v>2009</v>
      </c>
      <c r="F382" s="224"/>
      <c r="G382" s="225"/>
      <c r="H382" s="226">
        <f ca="1">IF(AND(E382&gt;=2018,SUMIF('DADOS BASE'!$C$101:$D$104,D382,'DADOS BASE'!$H$101:$H$104)&gt;J382),
SUMIF('DADOS BASE'!$C$101:$D$104,D382,'DADOS BASE'!$H$101:$H$104),
J382)</f>
        <v>7732308.9381209789</v>
      </c>
      <c r="I382" s="225"/>
      <c r="J382" s="226">
        <f t="shared" si="263"/>
        <v>7732308.9381209789</v>
      </c>
      <c r="K382" s="226"/>
      <c r="L382" s="227">
        <v>7848.4050908016998</v>
      </c>
      <c r="M382" s="226">
        <f t="shared" si="264"/>
        <v>6.1229619269673454E-3</v>
      </c>
      <c r="N382" s="226">
        <f>L382*'DADOS BASE'!$I$29</f>
        <v>7728608.0616735453</v>
      </c>
      <c r="O382" s="228"/>
      <c r="P382" s="227">
        <v>0</v>
      </c>
      <c r="Q382" s="226">
        <f>P382*'DADOS BASE'!$I$33</f>
        <v>0</v>
      </c>
      <c r="R382" s="226"/>
      <c r="S382" s="227">
        <v>4.6978021978021998</v>
      </c>
      <c r="T382" s="226">
        <f>S382*'DADOS BASE'!$I$37</f>
        <v>3700.8764474335298</v>
      </c>
      <c r="U382" s="226"/>
      <c r="V382" s="226">
        <f t="shared" si="265"/>
        <v>3700.8764474335298</v>
      </c>
      <c r="W382" s="228"/>
      <c r="X382" s="226"/>
      <c r="Y382" s="226"/>
      <c r="Z382" s="224"/>
      <c r="AA382" s="226"/>
      <c r="AB382" s="226"/>
      <c r="AC382" s="226"/>
      <c r="AD382" s="226"/>
      <c r="AE382" s="227">
        <v>5662</v>
      </c>
      <c r="AF382" s="227">
        <v>3500.5315678949</v>
      </c>
      <c r="AG382" s="226" t="s">
        <v>155</v>
      </c>
      <c r="AH382" s="229">
        <v>0.746</v>
      </c>
      <c r="AI382" s="225">
        <f t="shared" si="266"/>
        <v>2611.3965496495953</v>
      </c>
      <c r="AJ382" s="226">
        <f t="shared" si="267"/>
        <v>3.1930410074340991E-2</v>
      </c>
      <c r="AK382" s="226"/>
      <c r="AL382" s="226">
        <f t="shared" si="268"/>
        <v>173.9392339580771</v>
      </c>
      <c r="AM382" s="228">
        <f t="shared" si="269"/>
        <v>608879.77936570544</v>
      </c>
      <c r="AN382" s="226"/>
      <c r="AO382" s="227">
        <v>1.7781306715064</v>
      </c>
      <c r="AP382" s="225"/>
      <c r="AQ382" s="226">
        <f t="shared" si="270"/>
        <v>6224.4025474503096</v>
      </c>
      <c r="AR382" s="226">
        <f t="shared" si="271"/>
        <v>6.6226998341730138E-3</v>
      </c>
      <c r="AS382" s="228">
        <f>AR382*'DADOS BASE'!W$38</f>
        <v>1986642.8442866108</v>
      </c>
      <c r="AT382" s="225"/>
      <c r="AU382" s="227">
        <v>4.6978021978021998</v>
      </c>
      <c r="AV382" s="227">
        <v>22.5</v>
      </c>
      <c r="AW382" s="226">
        <f t="shared" si="272"/>
        <v>1.1744505494505499</v>
      </c>
      <c r="AX382" s="226">
        <f>IF($AW$11&gt;0,(AW382/$AW$11)*'DADOS BASE'!W$40,0)</f>
        <v>211.02101648370018</v>
      </c>
      <c r="AY382" s="226">
        <f t="shared" si="273"/>
        <v>2.0883265441455667</v>
      </c>
      <c r="AZ382" s="226">
        <f t="shared" si="274"/>
        <v>1.0922013707945896E-4</v>
      </c>
      <c r="BA382" s="226">
        <f>AZ382*'DADOS BASE'!W$41</f>
        <v>806.90240148573025</v>
      </c>
      <c r="BB382" s="225"/>
      <c r="BC382" s="227">
        <v>0</v>
      </c>
      <c r="BD382" s="226">
        <f>IF($BC$11&gt;0,(BC382/$BC$11)*'DADOS BASE'!W$39,0)</f>
        <v>0</v>
      </c>
      <c r="BE382" s="187"/>
    </row>
    <row r="383" spans="2:57" x14ac:dyDescent="0.3">
      <c r="B383" s="184" t="s">
        <v>490</v>
      </c>
      <c r="C383" s="184" t="s">
        <v>497</v>
      </c>
      <c r="D383" s="184" t="s">
        <v>94</v>
      </c>
      <c r="E383" s="184">
        <v>2009</v>
      </c>
      <c r="F383" s="185"/>
      <c r="H383" s="186">
        <f ca="1">IF(AND(E383&gt;=2018,SUMIF('DADOS BASE'!$C$101:$D$104,D383,'DADOS BASE'!$H$101:$H$104)&gt;J383),
SUMIF('DADOS BASE'!$C$101:$D$104,D383,'DADOS BASE'!$H$101:$H$104),
J383)</f>
        <v>3173966.51471837</v>
      </c>
      <c r="J383" s="186">
        <f t="shared" si="263"/>
        <v>3173966.51471837</v>
      </c>
      <c r="K383" s="186"/>
      <c r="L383" s="188">
        <v>3221.2062340911998</v>
      </c>
      <c r="M383" s="186">
        <f t="shared" si="264"/>
        <v>2.5130358209167793E-3</v>
      </c>
      <c r="N383" s="186">
        <f>L383*'DADOS BASE'!$I$29</f>
        <v>3172038.1633062861</v>
      </c>
      <c r="O383" s="187"/>
      <c r="P383" s="188">
        <v>0</v>
      </c>
      <c r="Q383" s="186">
        <f>P383*'DADOS BASE'!$I$33</f>
        <v>0</v>
      </c>
      <c r="R383" s="186"/>
      <c r="S383" s="188">
        <v>2.4478021978022002</v>
      </c>
      <c r="T383" s="186">
        <f>S383*'DADOS BASE'!$I$37</f>
        <v>1928.3514120837876</v>
      </c>
      <c r="U383" s="186"/>
      <c r="V383" s="186">
        <f t="shared" si="265"/>
        <v>1928.3514120837876</v>
      </c>
      <c r="W383" s="187"/>
      <c r="X383" s="186"/>
      <c r="Y383" s="186"/>
      <c r="Z383" s="185"/>
      <c r="AA383" s="186"/>
      <c r="AB383" s="186"/>
      <c r="AC383" s="186"/>
      <c r="AD383" s="186"/>
      <c r="AE383" s="188">
        <v>1691</v>
      </c>
      <c r="AF383" s="188">
        <v>1224.6407127381001</v>
      </c>
      <c r="AG383" s="186" t="s">
        <v>155</v>
      </c>
      <c r="AH383" s="189">
        <v>0.6</v>
      </c>
      <c r="AI383" s="183">
        <f t="shared" si="266"/>
        <v>734.78442764286001</v>
      </c>
      <c r="AJ383" s="186">
        <f t="shared" si="267"/>
        <v>-0.16499352313530985</v>
      </c>
      <c r="AK383" s="186"/>
      <c r="AL383" s="186">
        <f t="shared" si="268"/>
        <v>209.32181228400981</v>
      </c>
      <c r="AM383" s="187">
        <f t="shared" si="269"/>
        <v>256344.01338712056</v>
      </c>
      <c r="AN383" s="186"/>
      <c r="AO383" s="188">
        <v>1.9632009345793999</v>
      </c>
      <c r="AQ383" s="186">
        <f t="shared" si="270"/>
        <v>2404.2157917714208</v>
      </c>
      <c r="AR383" s="186">
        <f t="shared" si="271"/>
        <v>2.5580606980509304E-3</v>
      </c>
      <c r="AS383" s="187">
        <f>AR383*'DADOS BASE'!W$38</f>
        <v>767353.66365404427</v>
      </c>
      <c r="AU383" s="188">
        <v>2.4478021978022002</v>
      </c>
      <c r="AV383" s="188">
        <v>13.5</v>
      </c>
      <c r="AW383" s="186">
        <f t="shared" si="272"/>
        <v>0.61195054945055005</v>
      </c>
      <c r="AX383" s="186">
        <f>IF($AW$11&gt;0,(AW383/$AW$11)*'DADOS BASE'!W$40,0)</f>
        <v>109.95305595729647</v>
      </c>
      <c r="AY383" s="186">
        <f t="shared" si="273"/>
        <v>1.2013818905976972</v>
      </c>
      <c r="AZ383" s="186">
        <f t="shared" si="274"/>
        <v>6.2832651887565017E-5</v>
      </c>
      <c r="BA383" s="186">
        <f>AZ383*'DADOS BASE'!W$41</f>
        <v>464.19844412856202</v>
      </c>
      <c r="BC383" s="188">
        <v>0</v>
      </c>
      <c r="BD383" s="186">
        <f>IF($BC$11&gt;0,(BC383/$BC$11)*'DADOS BASE'!W$39,0)</f>
        <v>0</v>
      </c>
      <c r="BE383" s="187"/>
    </row>
    <row r="384" spans="2:57" x14ac:dyDescent="0.3">
      <c r="B384" s="223" t="s">
        <v>490</v>
      </c>
      <c r="C384" s="223" t="s">
        <v>498</v>
      </c>
      <c r="D384" s="223" t="s">
        <v>94</v>
      </c>
      <c r="E384" s="223">
        <v>2013</v>
      </c>
      <c r="F384" s="224"/>
      <c r="G384" s="225"/>
      <c r="H384" s="226">
        <f ca="1">IF(AND(E384&gt;=2018,SUMIF('DADOS BASE'!$C$101:$D$104,D384,'DADOS BASE'!$H$101:$H$104)&gt;J384),
SUMIF('DADOS BASE'!$C$101:$D$104,D384,'DADOS BASE'!$H$101:$H$104),
J384)</f>
        <v>1777302.8873417492</v>
      </c>
      <c r="I384" s="225"/>
      <c r="J384" s="226">
        <f t="shared" si="263"/>
        <v>1777302.8873417492</v>
      </c>
      <c r="K384" s="226"/>
      <c r="L384" s="227">
        <v>1802.3464164205</v>
      </c>
      <c r="M384" s="226">
        <f t="shared" si="264"/>
        <v>1.4061071465185392E-3</v>
      </c>
      <c r="N384" s="226">
        <f>L384*'DADOS BASE'!$I$29</f>
        <v>1774835.6363767935</v>
      </c>
      <c r="O384" s="228"/>
      <c r="P384" s="227">
        <v>0</v>
      </c>
      <c r="Q384" s="226">
        <f>P384*'DADOS BASE'!$I$33</f>
        <v>0</v>
      </c>
      <c r="R384" s="226"/>
      <c r="S384" s="227">
        <v>3.1318681318680999</v>
      </c>
      <c r="T384" s="226">
        <f>S384*'DADOS BASE'!$I$37</f>
        <v>2467.2509649556605</v>
      </c>
      <c r="U384" s="226"/>
      <c r="V384" s="226">
        <f t="shared" si="265"/>
        <v>2467.2509649556605</v>
      </c>
      <c r="W384" s="228"/>
      <c r="X384" s="226"/>
      <c r="Y384" s="226"/>
      <c r="Z384" s="224"/>
      <c r="AA384" s="226"/>
      <c r="AB384" s="226"/>
      <c r="AC384" s="226"/>
      <c r="AD384" s="226"/>
      <c r="AE384" s="227">
        <v>968</v>
      </c>
      <c r="AF384" s="227">
        <v>719.30775965265002</v>
      </c>
      <c r="AG384" s="226" t="s">
        <v>155</v>
      </c>
      <c r="AH384" s="229">
        <v>0.503</v>
      </c>
      <c r="AI384" s="225">
        <f t="shared" si="266"/>
        <v>361.81180310528293</v>
      </c>
      <c r="AJ384" s="226">
        <f t="shared" si="267"/>
        <v>-0.29582654725405044</v>
      </c>
      <c r="AK384" s="226"/>
      <c r="AL384" s="226">
        <f t="shared" si="268"/>
        <v>232.82941569233498</v>
      </c>
      <c r="AM384" s="228">
        <f t="shared" si="269"/>
        <v>167476.00538288904</v>
      </c>
      <c r="AN384" s="226"/>
      <c r="AO384" s="227">
        <v>1.9724366041896</v>
      </c>
      <c r="AP384" s="225"/>
      <c r="AQ384" s="226">
        <f t="shared" si="270"/>
        <v>1418.7889548165019</v>
      </c>
      <c r="AR384" s="226">
        <f t="shared" si="271"/>
        <v>1.5095767512078254E-3</v>
      </c>
      <c r="AS384" s="228">
        <f>AR384*'DADOS BASE'!W$38</f>
        <v>452834.93526518013</v>
      </c>
      <c r="AT384" s="225"/>
      <c r="AU384" s="227">
        <v>3.1318681318680999</v>
      </c>
      <c r="AV384" s="227">
        <v>15</v>
      </c>
      <c r="AW384" s="226">
        <f t="shared" si="272"/>
        <v>0.78296703296702497</v>
      </c>
      <c r="AX384" s="226">
        <f>IF($AW$11&gt;0,(AW384/$AW$11)*'DADOS BASE'!W$40,0)</f>
        <v>140.68067765579863</v>
      </c>
      <c r="AY384" s="226">
        <f t="shared" si="273"/>
        <v>1.5443528356978853</v>
      </c>
      <c r="AZ384" s="226">
        <f t="shared" si="274"/>
        <v>8.0770140516021115E-5</v>
      </c>
      <c r="BA384" s="226">
        <f>AZ384*'DADOS BASE'!W$41</f>
        <v>596.71798711718088</v>
      </c>
      <c r="BB384" s="225"/>
      <c r="BC384" s="227">
        <v>0</v>
      </c>
      <c r="BD384" s="226">
        <f>IF($BC$11&gt;0,(BC384/$BC$11)*'DADOS BASE'!W$39,0)</f>
        <v>0</v>
      </c>
      <c r="BE384" s="187"/>
    </row>
    <row r="385" spans="2:57" x14ac:dyDescent="0.3">
      <c r="B385" s="184" t="s">
        <v>490</v>
      </c>
      <c r="C385" s="184" t="s">
        <v>499</v>
      </c>
      <c r="D385" s="184" t="s">
        <v>94</v>
      </c>
      <c r="E385" s="184">
        <v>2016</v>
      </c>
      <c r="F385" s="185"/>
      <c r="H385" s="186">
        <f ca="1">IF(AND(E385&gt;=2018,SUMIF('DADOS BASE'!$C$101:$D$104,D385,'DADOS BASE'!$H$101:$H$104)&gt;J385),
SUMIF('DADOS BASE'!$C$101:$D$104,D385,'DADOS BASE'!$H$101:$H$104),
J385)</f>
        <v>482704.72798170516</v>
      </c>
      <c r="J385" s="186">
        <f t="shared" si="263"/>
        <v>482704.72798170516</v>
      </c>
      <c r="K385" s="186"/>
      <c r="L385" s="188">
        <v>489.17149175537998</v>
      </c>
      <c r="M385" s="186">
        <f t="shared" si="264"/>
        <v>3.8162892780424268E-4</v>
      </c>
      <c r="N385" s="186">
        <f>L385*'DADOS BASE'!$I$29</f>
        <v>481704.84206432838</v>
      </c>
      <c r="O385" s="187"/>
      <c r="P385" s="188">
        <v>0</v>
      </c>
      <c r="Q385" s="186">
        <f>P385*'DADOS BASE'!$I$33</f>
        <v>0</v>
      </c>
      <c r="R385" s="186"/>
      <c r="S385" s="188">
        <v>1.2692307692308</v>
      </c>
      <c r="T385" s="186">
        <f>S385*'DADOS BASE'!$I$37</f>
        <v>999.88591737680201</v>
      </c>
      <c r="U385" s="186"/>
      <c r="V385" s="186">
        <f t="shared" si="265"/>
        <v>999.88591737680201</v>
      </c>
      <c r="W385" s="187"/>
      <c r="X385" s="186"/>
      <c r="Y385" s="186"/>
      <c r="Z385" s="185"/>
      <c r="AA385" s="186"/>
      <c r="AB385" s="186"/>
      <c r="AC385" s="186"/>
      <c r="AD385" s="186"/>
      <c r="AE385" s="188">
        <v>533</v>
      </c>
      <c r="AF385" s="188">
        <v>206.88671987569001</v>
      </c>
      <c r="AG385" s="186" t="s">
        <v>155</v>
      </c>
      <c r="AH385" s="189">
        <v>0.57699999999999996</v>
      </c>
      <c r="AI385" s="183">
        <f t="shared" si="266"/>
        <v>119.37363736827312</v>
      </c>
      <c r="AJ385" s="186">
        <f t="shared" si="267"/>
        <v>-0.19601578658614527</v>
      </c>
      <c r="AK385" s="186"/>
      <c r="AL385" s="186">
        <f t="shared" si="268"/>
        <v>214.89578010247868</v>
      </c>
      <c r="AM385" s="187">
        <f t="shared" si="269"/>
        <v>44459.083060529389</v>
      </c>
      <c r="AN385" s="186"/>
      <c r="AO385" s="188">
        <v>2.1135940409682998</v>
      </c>
      <c r="AQ385" s="186">
        <f t="shared" si="270"/>
        <v>437.27453828473631</v>
      </c>
      <c r="AR385" s="186">
        <f t="shared" si="271"/>
        <v>4.652555791676202E-4</v>
      </c>
      <c r="AS385" s="187">
        <f>AR385*'DADOS BASE'!W$38</f>
        <v>139564.93428079301</v>
      </c>
      <c r="AU385" s="188">
        <v>1.2692307692308</v>
      </c>
      <c r="AV385" s="188">
        <v>7</v>
      </c>
      <c r="AW385" s="186">
        <f t="shared" si="272"/>
        <v>0.31730769230770001</v>
      </c>
      <c r="AX385" s="186">
        <f>IF($AW$11&gt;0,(AW385/$AW$11)*'DADOS BASE'!W$40,0)</f>
        <v>57.012695681562469</v>
      </c>
      <c r="AY385" s="186">
        <f t="shared" si="273"/>
        <v>0.67065964761495755</v>
      </c>
      <c r="AZ385" s="186">
        <f t="shared" si="274"/>
        <v>3.5075711148486675E-5</v>
      </c>
      <c r="BA385" s="186">
        <f>AZ385*'DADOS BASE'!W$41</f>
        <v>259.13422484484857</v>
      </c>
      <c r="BC385" s="188">
        <v>0</v>
      </c>
      <c r="BD385" s="186">
        <f>IF($BC$11&gt;0,(BC385/$BC$11)*'DADOS BASE'!W$39,0)</f>
        <v>0</v>
      </c>
      <c r="BE385" s="187"/>
    </row>
    <row r="386" spans="2:57" x14ac:dyDescent="0.3">
      <c r="B386" s="223" t="s">
        <v>490</v>
      </c>
      <c r="C386" s="223" t="s">
        <v>500</v>
      </c>
      <c r="D386" s="223" t="s">
        <v>92</v>
      </c>
      <c r="E386" s="223">
        <v>2009</v>
      </c>
      <c r="F386" s="224"/>
      <c r="G386" s="225"/>
      <c r="H386" s="226">
        <f ca="1">IF(AND(E386&gt;=2018,SUMIF('DADOS BASE'!$C$101:$D$104,D386,'DADOS BASE'!$H$101:$H$104)&gt;J386),
SUMIF('DADOS BASE'!$C$101:$D$104,D386,'DADOS BASE'!$H$101:$H$104),
J386)</f>
        <v>3785713.3638046985</v>
      </c>
      <c r="I386" s="225"/>
      <c r="J386" s="226">
        <f t="shared" si="263"/>
        <v>3785713.3638046985</v>
      </c>
      <c r="K386" s="226"/>
      <c r="L386" s="227">
        <v>3840.9838503141</v>
      </c>
      <c r="M386" s="226">
        <f t="shared" si="264"/>
        <v>2.9965575942471311E-3</v>
      </c>
      <c r="N386" s="226">
        <f>L386*'DADOS BASE'!$I$29</f>
        <v>3782355.5750309941</v>
      </c>
      <c r="O386" s="228"/>
      <c r="P386" s="227">
        <v>0</v>
      </c>
      <c r="Q386" s="226">
        <f>P386*'DADOS BASE'!$I$33</f>
        <v>0</v>
      </c>
      <c r="R386" s="226"/>
      <c r="S386" s="227">
        <v>4.2622950819672001</v>
      </c>
      <c r="T386" s="226">
        <f>S386*'DADOS BASE'!$I$37</f>
        <v>3357.7887737044198</v>
      </c>
      <c r="U386" s="226"/>
      <c r="V386" s="226">
        <f t="shared" si="265"/>
        <v>3357.7887737044198</v>
      </c>
      <c r="W386" s="228"/>
      <c r="X386" s="226"/>
      <c r="Y386" s="226"/>
      <c r="Z386" s="224"/>
      <c r="AA386" s="226"/>
      <c r="AB386" s="226"/>
      <c r="AC386" s="226"/>
      <c r="AD386" s="226"/>
      <c r="AE386" s="227">
        <v>2031</v>
      </c>
      <c r="AF386" s="227">
        <v>1223.3139408254001</v>
      </c>
      <c r="AG386" s="226" t="s">
        <v>155</v>
      </c>
      <c r="AH386" s="229">
        <v>0.67300000000000004</v>
      </c>
      <c r="AI386" s="225">
        <f t="shared" si="266"/>
        <v>823.29028217549433</v>
      </c>
      <c r="AJ386" s="226">
        <f t="shared" si="267"/>
        <v>-6.6531556530484356E-2</v>
      </c>
      <c r="AK386" s="226"/>
      <c r="AL386" s="226">
        <f t="shared" si="268"/>
        <v>191.63052312104344</v>
      </c>
      <c r="AM386" s="228">
        <f t="shared" si="269"/>
        <v>234424.2904216366</v>
      </c>
      <c r="AN386" s="226"/>
      <c r="AO386" s="227">
        <v>1.9225000000000001</v>
      </c>
      <c r="AP386" s="225"/>
      <c r="AQ386" s="226">
        <f t="shared" si="270"/>
        <v>2351.8210512368319</v>
      </c>
      <c r="AR386" s="226">
        <f t="shared" si="271"/>
        <v>2.5023132368601213E-3</v>
      </c>
      <c r="AS386" s="228">
        <f>AR386*'DADOS BASE'!W$38</f>
        <v>750630.83193360351</v>
      </c>
      <c r="AT386" s="225"/>
      <c r="AU386" s="227">
        <v>4.2622950819672001</v>
      </c>
      <c r="AV386" s="227">
        <v>26</v>
      </c>
      <c r="AW386" s="226">
        <f t="shared" si="272"/>
        <v>1.0655737704918</v>
      </c>
      <c r="AX386" s="226">
        <f>IF($AW$11&gt;0,(AW386/$AW$11)*'DADOS BASE'!W$40,0)</f>
        <v>191.45843159828701</v>
      </c>
      <c r="AY386" s="226">
        <f t="shared" si="273"/>
        <v>2.0485655737704858</v>
      </c>
      <c r="AZ386" s="226">
        <f t="shared" si="274"/>
        <v>1.0714062578513912E-4</v>
      </c>
      <c r="BA386" s="226">
        <f>AZ386*'DADOS BASE'!W$41</f>
        <v>791.53927613016833</v>
      </c>
      <c r="BB386" s="225"/>
      <c r="BC386" s="227">
        <v>207.5</v>
      </c>
      <c r="BD386" s="226">
        <f>IF($BC$11&gt;0,(BC386/$BC$11)*'DADOS BASE'!W$39,0)</f>
        <v>1121164.8325966524</v>
      </c>
      <c r="BE386" s="187"/>
    </row>
    <row r="387" spans="2:57" x14ac:dyDescent="0.3">
      <c r="B387" s="184" t="s">
        <v>490</v>
      </c>
      <c r="C387" s="184" t="s">
        <v>501</v>
      </c>
      <c r="D387" s="184" t="s">
        <v>92</v>
      </c>
      <c r="E387" s="184">
        <v>2010</v>
      </c>
      <c r="F387" s="185"/>
      <c r="H387" s="186">
        <f ca="1">IF(AND(E387&gt;=2018,SUMIF('DADOS BASE'!$C$101:$D$104,D387,'DADOS BASE'!$H$101:$H$104)&gt;J387),
SUMIF('DADOS BASE'!$C$101:$D$104,D387,'DADOS BASE'!$H$101:$H$104),
J387)</f>
        <v>1908807.3858337069</v>
      </c>
      <c r="J387" s="186">
        <f t="shared" si="263"/>
        <v>1908807.3858337069</v>
      </c>
      <c r="K387" s="186"/>
      <c r="L387" s="188">
        <v>1936.9035816794001</v>
      </c>
      <c r="M387" s="186">
        <f t="shared" si="264"/>
        <v>1.5110824109638584E-3</v>
      </c>
      <c r="N387" s="186">
        <f>L387*'DADOS BASE'!$I$29</f>
        <v>1907338.9386585117</v>
      </c>
      <c r="O387" s="187"/>
      <c r="P387" s="188">
        <v>0</v>
      </c>
      <c r="Q387" s="186">
        <f>P387*'DADOS BASE'!$I$33</f>
        <v>0</v>
      </c>
      <c r="R387" s="186"/>
      <c r="S387" s="188">
        <v>1.8640109890109999</v>
      </c>
      <c r="T387" s="186">
        <f>S387*'DADOS BASE'!$I$37</f>
        <v>1468.4471751951248</v>
      </c>
      <c r="U387" s="186"/>
      <c r="V387" s="186">
        <f t="shared" si="265"/>
        <v>1468.4471751951248</v>
      </c>
      <c r="W387" s="187"/>
      <c r="X387" s="186"/>
      <c r="Y387" s="186"/>
      <c r="Z387" s="185"/>
      <c r="AA387" s="186"/>
      <c r="AB387" s="186"/>
      <c r="AC387" s="186"/>
      <c r="AD387" s="186"/>
      <c r="AE387" s="188">
        <v>1026</v>
      </c>
      <c r="AF387" s="188">
        <v>698.08637563789</v>
      </c>
      <c r="AG387" s="186" t="s">
        <v>155</v>
      </c>
      <c r="AH387" s="189">
        <v>0.64</v>
      </c>
      <c r="AI387" s="183">
        <f t="shared" si="266"/>
        <v>446.77528040824961</v>
      </c>
      <c r="AJ387" s="186">
        <f t="shared" si="267"/>
        <v>-0.1110417606121178</v>
      </c>
      <c r="AK387" s="186"/>
      <c r="AL387" s="186">
        <f t="shared" si="268"/>
        <v>199.62795520841181</v>
      </c>
      <c r="AM387" s="187">
        <f t="shared" si="269"/>
        <v>139357.55572744325</v>
      </c>
      <c r="AN387" s="186"/>
      <c r="AO387" s="188">
        <v>1.8561190738699</v>
      </c>
      <c r="AQ387" s="186">
        <f t="shared" si="270"/>
        <v>1295.7314370301956</v>
      </c>
      <c r="AR387" s="186">
        <f t="shared" si="271"/>
        <v>1.3786448269911069E-3</v>
      </c>
      <c r="AS387" s="187">
        <f>AR387*'DADOS BASE'!W$38</f>
        <v>413558.66171407758</v>
      </c>
      <c r="AU387" s="188">
        <v>1.8640109890109999</v>
      </c>
      <c r="AV387" s="188">
        <v>5.75</v>
      </c>
      <c r="AW387" s="186">
        <f t="shared" si="272"/>
        <v>0.46600274725274998</v>
      </c>
      <c r="AX387" s="186">
        <f>IF($AW$11&gt;0,(AW387/$AW$11)*'DADOS BASE'!W$40,0)</f>
        <v>83.7296840258429</v>
      </c>
      <c r="AY387" s="186">
        <f t="shared" si="273"/>
        <v>0.86495658765160344</v>
      </c>
      <c r="AZ387" s="186">
        <f t="shared" si="274"/>
        <v>4.5237502408772768E-5</v>
      </c>
      <c r="BA387" s="186">
        <f>AZ387*'DADOS BASE'!W$41</f>
        <v>334.20805271741631</v>
      </c>
      <c r="BC387" s="188">
        <v>0</v>
      </c>
      <c r="BD387" s="186">
        <f>IF($BC$11&gt;0,(BC387/$BC$11)*'DADOS BASE'!W$39,0)</f>
        <v>0</v>
      </c>
      <c r="BE387" s="187"/>
    </row>
    <row r="388" spans="2:57" x14ac:dyDescent="0.3">
      <c r="B388" s="223" t="s">
        <v>490</v>
      </c>
      <c r="C388" s="223" t="s">
        <v>502</v>
      </c>
      <c r="D388" s="223" t="s">
        <v>94</v>
      </c>
      <c r="E388" s="223">
        <v>2010</v>
      </c>
      <c r="F388" s="224"/>
      <c r="G388" s="225"/>
      <c r="H388" s="226">
        <f ca="1">IF(AND(E388&gt;=2018,SUMIF('DADOS BASE'!$C$101:$D$104,D388,'DADOS BASE'!$H$101:$H$104)&gt;J388),
SUMIF('DADOS BASE'!$C$101:$D$104,D388,'DADOS BASE'!$H$101:$H$104),
J388)</f>
        <v>1169048.4251245407</v>
      </c>
      <c r="I388" s="225"/>
      <c r="J388" s="226">
        <f t="shared" si="263"/>
        <v>1169048.4251245407</v>
      </c>
      <c r="K388" s="226"/>
      <c r="L388" s="227">
        <v>1186.06922089</v>
      </c>
      <c r="M388" s="226">
        <f t="shared" si="264"/>
        <v>9.2531623918961953E-4</v>
      </c>
      <c r="N388" s="226">
        <f>L388*'DADOS BASE'!$I$29</f>
        <v>1167965.2153807159</v>
      </c>
      <c r="O388" s="228"/>
      <c r="P388" s="227">
        <v>0</v>
      </c>
      <c r="Q388" s="226">
        <f>P388*'DADOS BASE'!$I$33</f>
        <v>0</v>
      </c>
      <c r="R388" s="226"/>
      <c r="S388" s="227">
        <v>1.375</v>
      </c>
      <c r="T388" s="226">
        <f>S388*'DADOS BASE'!$I$37</f>
        <v>1083.2097438248427</v>
      </c>
      <c r="U388" s="226"/>
      <c r="V388" s="226">
        <f t="shared" si="265"/>
        <v>1083.2097438248427</v>
      </c>
      <c r="W388" s="228"/>
      <c r="X388" s="226"/>
      <c r="Y388" s="226"/>
      <c r="Z388" s="224"/>
      <c r="AA388" s="226"/>
      <c r="AB388" s="226"/>
      <c r="AC388" s="226"/>
      <c r="AD388" s="226"/>
      <c r="AE388" s="227">
        <v>801</v>
      </c>
      <c r="AF388" s="227">
        <v>550.57026982150001</v>
      </c>
      <c r="AG388" s="226" t="s">
        <v>155</v>
      </c>
      <c r="AH388" s="229">
        <v>0.64</v>
      </c>
      <c r="AI388" s="225">
        <f t="shared" si="266"/>
        <v>352.36497268575999</v>
      </c>
      <c r="AJ388" s="226">
        <f t="shared" si="267"/>
        <v>-0.1110417606121178</v>
      </c>
      <c r="AK388" s="226"/>
      <c r="AL388" s="226">
        <f t="shared" si="268"/>
        <v>199.62795520841181</v>
      </c>
      <c r="AM388" s="228">
        <f t="shared" si="269"/>
        <v>109909.2171630096</v>
      </c>
      <c r="AN388" s="226"/>
      <c r="AO388" s="227">
        <v>1.8862019914651</v>
      </c>
      <c r="AP388" s="225"/>
      <c r="AQ388" s="226">
        <f t="shared" si="270"/>
        <v>1038.4867393787908</v>
      </c>
      <c r="AR388" s="226">
        <f t="shared" si="271"/>
        <v>1.1049391333939423E-3</v>
      </c>
      <c r="AS388" s="228">
        <f>AR388*'DADOS BASE'!W$38</f>
        <v>331453.85985977307</v>
      </c>
      <c r="AT388" s="225"/>
      <c r="AU388" s="227">
        <v>1.375</v>
      </c>
      <c r="AV388" s="227">
        <v>7.5</v>
      </c>
      <c r="AW388" s="226">
        <f t="shared" si="272"/>
        <v>0.34375</v>
      </c>
      <c r="AX388" s="226">
        <f>IF($AW$11&gt;0,(AW388/$AW$11)*'DADOS BASE'!W$40,0)</f>
        <v>61.763753655024509</v>
      </c>
      <c r="AY388" s="226">
        <f t="shared" si="273"/>
        <v>0.64838193456612814</v>
      </c>
      <c r="AZ388" s="226">
        <f t="shared" si="274"/>
        <v>3.3910579727909191E-5</v>
      </c>
      <c r="BA388" s="226">
        <f>AZ388*'DADOS BASE'!W$41</f>
        <v>250.52640428675417</v>
      </c>
      <c r="BB388" s="225"/>
      <c r="BC388" s="227">
        <v>0</v>
      </c>
      <c r="BD388" s="226">
        <f>IF($BC$11&gt;0,(BC388/$BC$11)*'DADOS BASE'!W$39,0)</f>
        <v>0</v>
      </c>
      <c r="BE388" s="187"/>
    </row>
    <row r="389" spans="2:57" x14ac:dyDescent="0.3">
      <c r="B389" s="184" t="s">
        <v>490</v>
      </c>
      <c r="C389" s="184" t="s">
        <v>503</v>
      </c>
      <c r="D389" s="184" t="s">
        <v>94</v>
      </c>
      <c r="E389" s="184">
        <v>2009</v>
      </c>
      <c r="F389" s="185"/>
      <c r="H389" s="186">
        <f ca="1">IF(AND(E389&gt;=2018,SUMIF('DADOS BASE'!$C$101:$D$104,D389,'DADOS BASE'!$H$101:$H$104)&gt;J389),
SUMIF('DADOS BASE'!$C$101:$D$104,D389,'DADOS BASE'!$H$101:$H$104),
J389)</f>
        <v>1297892.6236257495</v>
      </c>
      <c r="J389" s="186">
        <f t="shared" si="263"/>
        <v>1297892.6236257495</v>
      </c>
      <c r="K389" s="186"/>
      <c r="L389" s="188">
        <v>1318.0105645533999</v>
      </c>
      <c r="M389" s="186">
        <f t="shared" si="264"/>
        <v>1.0282507608532292E-3</v>
      </c>
      <c r="N389" s="186">
        <f>L389*'DADOS BASE'!$I$29</f>
        <v>1297892.6236257495</v>
      </c>
      <c r="O389" s="187"/>
      <c r="P389" s="188">
        <v>0</v>
      </c>
      <c r="Q389" s="186">
        <f>P389*'DADOS BASE'!$I$33</f>
        <v>0</v>
      </c>
      <c r="R389" s="186"/>
      <c r="S389" s="188">
        <v>0</v>
      </c>
      <c r="T389" s="186">
        <f>S389*'DADOS BASE'!$I$37</f>
        <v>0</v>
      </c>
      <c r="U389" s="186"/>
      <c r="V389" s="186">
        <f t="shared" si="265"/>
        <v>0</v>
      </c>
      <c r="W389" s="187"/>
      <c r="X389" s="186"/>
      <c r="Y389" s="186"/>
      <c r="Z389" s="185"/>
      <c r="AA389" s="186"/>
      <c r="AB389" s="186"/>
      <c r="AC389" s="186"/>
      <c r="AD389" s="186"/>
      <c r="AE389" s="188">
        <v>995</v>
      </c>
      <c r="AF389" s="188">
        <v>621.56494980322998</v>
      </c>
      <c r="AG389" s="186" t="s">
        <v>155</v>
      </c>
      <c r="AH389" s="189">
        <v>0.66800000000000004</v>
      </c>
      <c r="AI389" s="183">
        <f t="shared" si="266"/>
        <v>415.20538646855766</v>
      </c>
      <c r="AJ389" s="186">
        <f t="shared" si="267"/>
        <v>-7.3275526845883357E-2</v>
      </c>
      <c r="AK389" s="186"/>
      <c r="AL389" s="186">
        <f t="shared" si="268"/>
        <v>192.8422552554932</v>
      </c>
      <c r="AM389" s="187">
        <f t="shared" si="269"/>
        <v>119863.98670782229</v>
      </c>
      <c r="AN389" s="186"/>
      <c r="AO389" s="188">
        <v>1.6280674846626</v>
      </c>
      <c r="AQ389" s="186">
        <f t="shared" si="270"/>
        <v>1011.9496843805798</v>
      </c>
      <c r="AR389" s="186">
        <f t="shared" si="271"/>
        <v>1.0767039817635125E-3</v>
      </c>
      <c r="AS389" s="187">
        <f>AR389*'DADOS BASE'!W$38</f>
        <v>322984.02680852998</v>
      </c>
      <c r="AU389" s="188">
        <v>0</v>
      </c>
      <c r="AV389" s="188">
        <v>0</v>
      </c>
      <c r="AW389" s="186">
        <f t="shared" si="272"/>
        <v>0</v>
      </c>
      <c r="AX389" s="186">
        <f>IF($AW$11&gt;0,(AW389/$AW$11)*'DADOS BASE'!W$40,0)</f>
        <v>0</v>
      </c>
      <c r="AY389" s="186">
        <f t="shared" si="273"/>
        <v>0</v>
      </c>
      <c r="AZ389" s="186">
        <f t="shared" si="274"/>
        <v>0</v>
      </c>
      <c r="BA389" s="186">
        <f>AZ389*'DADOS BASE'!W$41</f>
        <v>0</v>
      </c>
      <c r="BC389" s="188">
        <v>0</v>
      </c>
      <c r="BD389" s="186">
        <f>IF($BC$11&gt;0,(BC389/$BC$11)*'DADOS BASE'!W$39,0)</f>
        <v>0</v>
      </c>
      <c r="BE389" s="187"/>
    </row>
    <row r="390" spans="2:57" x14ac:dyDescent="0.3">
      <c r="B390" s="223" t="s">
        <v>490</v>
      </c>
      <c r="C390" s="223" t="s">
        <v>504</v>
      </c>
      <c r="D390" s="223" t="s">
        <v>92</v>
      </c>
      <c r="E390" s="223">
        <v>2009</v>
      </c>
      <c r="F390" s="224"/>
      <c r="G390" s="225"/>
      <c r="H390" s="226">
        <f ca="1">IF(AND(E390&gt;=2018,SUMIF('DADOS BASE'!$C$101:$D$104,D390,'DADOS BASE'!$H$101:$H$104)&gt;J390),
SUMIF('DADOS BASE'!$C$101:$D$104,D390,'DADOS BASE'!$H$101:$H$104),
J390)</f>
        <v>1909424.9036438144</v>
      </c>
      <c r="I390" s="225"/>
      <c r="J390" s="226">
        <f t="shared" si="263"/>
        <v>1909424.9036438144</v>
      </c>
      <c r="K390" s="226"/>
      <c r="L390" s="227">
        <v>1937.7192485158</v>
      </c>
      <c r="M390" s="226">
        <f t="shared" si="264"/>
        <v>1.5117187564285212E-3</v>
      </c>
      <c r="N390" s="226">
        <f>L390*'DADOS BASE'!$I$29</f>
        <v>1908142.1552629692</v>
      </c>
      <c r="O390" s="228"/>
      <c r="P390" s="227">
        <v>0</v>
      </c>
      <c r="Q390" s="226">
        <f>P390*'DADOS BASE'!$I$33</f>
        <v>0</v>
      </c>
      <c r="R390" s="226"/>
      <c r="S390" s="227">
        <v>1.6282894736842</v>
      </c>
      <c r="T390" s="226">
        <f>S390*'DADOS BASE'!$I$37</f>
        <v>1282.7483808452</v>
      </c>
      <c r="U390" s="226"/>
      <c r="V390" s="226">
        <f t="shared" si="265"/>
        <v>1282.7483808452</v>
      </c>
      <c r="W390" s="228"/>
      <c r="X390" s="226"/>
      <c r="Y390" s="226"/>
      <c r="Z390" s="224"/>
      <c r="AA390" s="226"/>
      <c r="AB390" s="226"/>
      <c r="AC390" s="226"/>
      <c r="AD390" s="226"/>
      <c r="AE390" s="227">
        <v>795</v>
      </c>
      <c r="AF390" s="227">
        <v>575.56036084313996</v>
      </c>
      <c r="AG390" s="226" t="s">
        <v>155</v>
      </c>
      <c r="AH390" s="229">
        <v>0.66800000000000004</v>
      </c>
      <c r="AI390" s="225">
        <f t="shared" si="266"/>
        <v>384.47432104321751</v>
      </c>
      <c r="AJ390" s="226">
        <f t="shared" si="267"/>
        <v>-7.3275526845883357E-2</v>
      </c>
      <c r="AK390" s="226"/>
      <c r="AL390" s="226">
        <f t="shared" si="268"/>
        <v>192.8422552554932</v>
      </c>
      <c r="AM390" s="228">
        <f t="shared" si="269"/>
        <v>110992.35802065657</v>
      </c>
      <c r="AN390" s="226"/>
      <c r="AO390" s="227">
        <v>1.8690476190476</v>
      </c>
      <c r="AP390" s="225"/>
      <c r="AQ390" s="226">
        <f t="shared" si="270"/>
        <v>1075.7497220520481</v>
      </c>
      <c r="AR390" s="226">
        <f t="shared" si="271"/>
        <v>1.1445865609646514E-3</v>
      </c>
      <c r="AS390" s="228">
        <f>AR390*'DADOS BASE'!W$38</f>
        <v>343347.08773510176</v>
      </c>
      <c r="AT390" s="225"/>
      <c r="AU390" s="227">
        <v>1.6282894736842</v>
      </c>
      <c r="AV390" s="227">
        <v>7.5</v>
      </c>
      <c r="AW390" s="226">
        <f t="shared" si="272"/>
        <v>0.40707236842104999</v>
      </c>
      <c r="AX390" s="226">
        <f>IF($AW$11&gt;0,(AW390/$AW$11)*'DADOS BASE'!W$40,0)</f>
        <v>73.14128722305486</v>
      </c>
      <c r="AY390" s="226">
        <f t="shared" si="273"/>
        <v>0.7608376409774309</v>
      </c>
      <c r="AZ390" s="226">
        <f t="shared" si="274"/>
        <v>3.9792048650498209E-5</v>
      </c>
      <c r="BA390" s="226">
        <f>AZ390*'DADOS BASE'!W$41</f>
        <v>293.97783663982074</v>
      </c>
      <c r="BB390" s="225"/>
      <c r="BC390" s="227">
        <v>300</v>
      </c>
      <c r="BD390" s="226">
        <f>IF($BC$11&gt;0,(BC390/$BC$11)*'DADOS BASE'!W$39,0)</f>
        <v>1620961.2037541964</v>
      </c>
      <c r="BE390" s="187"/>
    </row>
    <row r="391" spans="2:57" x14ac:dyDescent="0.3">
      <c r="B391" s="184" t="s">
        <v>490</v>
      </c>
      <c r="C391" s="184" t="s">
        <v>505</v>
      </c>
      <c r="D391" s="184" t="s">
        <v>94</v>
      </c>
      <c r="E391" s="184">
        <v>2013</v>
      </c>
      <c r="F391" s="185"/>
      <c r="H391" s="186">
        <f ca="1">IF(AND(E391&gt;=2018,SUMIF('DADOS BASE'!$C$101:$D$104,D391,'DADOS BASE'!$H$101:$H$104)&gt;J391),
SUMIF('DADOS BASE'!$C$101:$D$104,D391,'DADOS BASE'!$H$101:$H$104),
J391)</f>
        <v>1085409.5644246771</v>
      </c>
      <c r="J391" s="186">
        <f t="shared" si="263"/>
        <v>1085409.5644246771</v>
      </c>
      <c r="K391" s="186"/>
      <c r="L391" s="188">
        <v>1102.2339188450001</v>
      </c>
      <c r="M391" s="186">
        <f t="shared" si="264"/>
        <v>8.5991182178015726E-4</v>
      </c>
      <c r="N391" s="186">
        <f>L391*'DADOS BASE'!$I$29</f>
        <v>1085409.5644246771</v>
      </c>
      <c r="O391" s="187"/>
      <c r="P391" s="188">
        <v>0</v>
      </c>
      <c r="Q391" s="186">
        <f>P391*'DADOS BASE'!$I$33</f>
        <v>0</v>
      </c>
      <c r="R391" s="186"/>
      <c r="S391" s="188">
        <v>0</v>
      </c>
      <c r="T391" s="186">
        <f>S391*'DADOS BASE'!$I$37</f>
        <v>0</v>
      </c>
      <c r="U391" s="186"/>
      <c r="V391" s="186">
        <f t="shared" si="265"/>
        <v>0</v>
      </c>
      <c r="W391" s="187"/>
      <c r="X391" s="186"/>
      <c r="Y391" s="186"/>
      <c r="Z391" s="185"/>
      <c r="AA391" s="186"/>
      <c r="AB391" s="186"/>
      <c r="AC391" s="186"/>
      <c r="AD391" s="186"/>
      <c r="AE391" s="188">
        <v>679</v>
      </c>
      <c r="AF391" s="188">
        <v>462.47372925155997</v>
      </c>
      <c r="AG391" s="186" t="s">
        <v>155</v>
      </c>
      <c r="AH391" s="189">
        <v>0.59399999999999997</v>
      </c>
      <c r="AI391" s="183">
        <f t="shared" si="266"/>
        <v>274.70939517542661</v>
      </c>
      <c r="AJ391" s="186">
        <f t="shared" si="267"/>
        <v>-0.17308628751378866</v>
      </c>
      <c r="AK391" s="186"/>
      <c r="AL391" s="186">
        <f t="shared" si="268"/>
        <v>210.77589084534952</v>
      </c>
      <c r="AM391" s="187">
        <f t="shared" si="269"/>
        <v>97478.312275568533</v>
      </c>
      <c r="AN391" s="186"/>
      <c r="AO391" s="188">
        <v>1.9067796610169001</v>
      </c>
      <c r="AQ391" s="186">
        <f t="shared" si="270"/>
        <v>881.83550069151113</v>
      </c>
      <c r="AR391" s="186">
        <f t="shared" si="271"/>
        <v>9.382638381236814E-4</v>
      </c>
      <c r="AS391" s="187">
        <f>AR391*'DADOS BASE'!W$38</f>
        <v>281455.47688015708</v>
      </c>
      <c r="AU391" s="188">
        <v>0</v>
      </c>
      <c r="AV391" s="188">
        <v>0</v>
      </c>
      <c r="AW391" s="186">
        <f t="shared" si="272"/>
        <v>0</v>
      </c>
      <c r="AX391" s="186">
        <f>IF($AW$11&gt;0,(AW391/$AW$11)*'DADOS BASE'!W$40,0)</f>
        <v>0</v>
      </c>
      <c r="AY391" s="186">
        <f t="shared" si="273"/>
        <v>0</v>
      </c>
      <c r="AZ391" s="186">
        <f t="shared" si="274"/>
        <v>0</v>
      </c>
      <c r="BA391" s="186">
        <f>AZ391*'DADOS BASE'!W$41</f>
        <v>0</v>
      </c>
      <c r="BC391" s="188">
        <v>0</v>
      </c>
      <c r="BD391" s="186">
        <f>IF($BC$11&gt;0,(BC391/$BC$11)*'DADOS BASE'!W$39,0)</f>
        <v>0</v>
      </c>
      <c r="BE391" s="187"/>
    </row>
    <row r="392" spans="2:57" x14ac:dyDescent="0.3">
      <c r="B392" s="223" t="s">
        <v>490</v>
      </c>
      <c r="C392" s="223" t="s">
        <v>506</v>
      </c>
      <c r="D392" s="223" t="s">
        <v>94</v>
      </c>
      <c r="E392" s="223">
        <v>2016</v>
      </c>
      <c r="F392" s="224"/>
      <c r="G392" s="225"/>
      <c r="H392" s="226">
        <f ca="1">IF(AND(E392&gt;=2018,SUMIF('DADOS BASE'!$C$101:$D$104,D392,'DADOS BASE'!$H$101:$H$104)&gt;J392),
SUMIF('DADOS BASE'!$C$101:$D$104,D392,'DADOS BASE'!$H$101:$H$104),
J392)</f>
        <v>1272057.6980320548</v>
      </c>
      <c r="I392" s="225"/>
      <c r="J392" s="226">
        <f t="shared" si="263"/>
        <v>1272057.6980320548</v>
      </c>
      <c r="K392" s="226"/>
      <c r="L392" s="227">
        <v>1291.7751855650999</v>
      </c>
      <c r="M392" s="226">
        <f t="shared" si="264"/>
        <v>1.0077831340135816E-3</v>
      </c>
      <c r="N392" s="226">
        <f>L392*'DADOS BASE'!$I$29</f>
        <v>1272057.6980320548</v>
      </c>
      <c r="O392" s="228"/>
      <c r="P392" s="227">
        <v>0</v>
      </c>
      <c r="Q392" s="226">
        <f>P392*'DADOS BASE'!$I$33</f>
        <v>0</v>
      </c>
      <c r="R392" s="226"/>
      <c r="S392" s="227">
        <v>0</v>
      </c>
      <c r="T392" s="226">
        <f>S392*'DADOS BASE'!$I$37</f>
        <v>0</v>
      </c>
      <c r="U392" s="226"/>
      <c r="V392" s="226">
        <f t="shared" si="265"/>
        <v>0</v>
      </c>
      <c r="W392" s="228"/>
      <c r="X392" s="226"/>
      <c r="Y392" s="226"/>
      <c r="Z392" s="224"/>
      <c r="AA392" s="226"/>
      <c r="AB392" s="226"/>
      <c r="AC392" s="226"/>
      <c r="AD392" s="226"/>
      <c r="AE392" s="227">
        <v>967</v>
      </c>
      <c r="AF392" s="227">
        <v>842.61499849338998</v>
      </c>
      <c r="AG392" s="226" t="s">
        <v>155</v>
      </c>
      <c r="AH392" s="229">
        <v>0.64500000000000002</v>
      </c>
      <c r="AI392" s="225">
        <f t="shared" si="266"/>
        <v>543.48667402823651</v>
      </c>
      <c r="AJ392" s="226">
        <f t="shared" si="267"/>
        <v>-0.10429779029671879</v>
      </c>
      <c r="AK392" s="226"/>
      <c r="AL392" s="226">
        <f t="shared" si="268"/>
        <v>198.41622307396204</v>
      </c>
      <c r="AM392" s="228">
        <f t="shared" si="269"/>
        <v>167188.48550653065</v>
      </c>
      <c r="AN392" s="226"/>
      <c r="AO392" s="227">
        <v>1.8888297872340001</v>
      </c>
      <c r="AP392" s="225"/>
      <c r="AQ392" s="226">
        <f t="shared" si="270"/>
        <v>1591.5563083244472</v>
      </c>
      <c r="AR392" s="226">
        <f t="shared" si="271"/>
        <v>1.6933994257063234E-3</v>
      </c>
      <c r="AS392" s="228">
        <f>AR392*'DADOS BASE'!W$38</f>
        <v>507977.09934540826</v>
      </c>
      <c r="AT392" s="225"/>
      <c r="AU392" s="227">
        <v>0</v>
      </c>
      <c r="AV392" s="227">
        <v>0</v>
      </c>
      <c r="AW392" s="226">
        <f t="shared" si="272"/>
        <v>0</v>
      </c>
      <c r="AX392" s="226">
        <f>IF($AW$11&gt;0,(AW392/$AW$11)*'DADOS BASE'!W$40,0)</f>
        <v>0</v>
      </c>
      <c r="AY392" s="226">
        <f t="shared" si="273"/>
        <v>0</v>
      </c>
      <c r="AZ392" s="226">
        <f t="shared" si="274"/>
        <v>0</v>
      </c>
      <c r="BA392" s="226">
        <f>AZ392*'DADOS BASE'!W$41</f>
        <v>0</v>
      </c>
      <c r="BB392" s="225"/>
      <c r="BC392" s="227">
        <v>0</v>
      </c>
      <c r="BD392" s="226">
        <f>IF($BC$11&gt;0,(BC392/$BC$11)*'DADOS BASE'!W$39,0)</f>
        <v>0</v>
      </c>
      <c r="BE392" s="187"/>
    </row>
    <row r="393" spans="2:57" x14ac:dyDescent="0.3">
      <c r="B393" s="184" t="s">
        <v>490</v>
      </c>
      <c r="C393" s="184" t="s">
        <v>507</v>
      </c>
      <c r="D393" s="184" t="s">
        <v>94</v>
      </c>
      <c r="E393" s="184">
        <v>2014</v>
      </c>
      <c r="F393" s="185"/>
      <c r="H393" s="186">
        <f ca="1">IF(AND(E393&gt;=2018,SUMIF('DADOS BASE'!$C$101:$D$104,D393,'DADOS BASE'!$H$101:$H$104)&gt;J393),
SUMIF('DADOS BASE'!$C$101:$D$104,D393,'DADOS BASE'!$H$101:$H$104),
J393)</f>
        <v>1380059.5794770543</v>
      </c>
      <c r="J393" s="186">
        <f t="shared" si="263"/>
        <v>1380059.5794770543</v>
      </c>
      <c r="K393" s="186"/>
      <c r="L393" s="188">
        <v>1396.5213687605001</v>
      </c>
      <c r="M393" s="186">
        <f t="shared" si="264"/>
        <v>1.0895012518069979E-3</v>
      </c>
      <c r="N393" s="186">
        <f>L393*'DADOS BASE'!$I$29</f>
        <v>1375205.0491827088</v>
      </c>
      <c r="O393" s="187"/>
      <c r="P393" s="188">
        <v>0</v>
      </c>
      <c r="Q393" s="186">
        <f>P393*'DADOS BASE'!$I$33</f>
        <v>0</v>
      </c>
      <c r="R393" s="186"/>
      <c r="S393" s="188">
        <v>6.1622222222221996</v>
      </c>
      <c r="T393" s="186">
        <f>S393*'DADOS BASE'!$I$37</f>
        <v>4854.530294345499</v>
      </c>
      <c r="U393" s="186"/>
      <c r="V393" s="186">
        <f t="shared" si="265"/>
        <v>4854.530294345499</v>
      </c>
      <c r="W393" s="187"/>
      <c r="X393" s="186"/>
      <c r="Y393" s="186"/>
      <c r="Z393" s="185"/>
      <c r="AA393" s="186"/>
      <c r="AB393" s="186"/>
      <c r="AC393" s="186"/>
      <c r="AD393" s="186"/>
      <c r="AE393" s="188">
        <v>870</v>
      </c>
      <c r="AF393" s="188">
        <v>597.54004272128998</v>
      </c>
      <c r="AG393" s="186" t="s">
        <v>155</v>
      </c>
      <c r="AH393" s="189">
        <v>0.64400000000000002</v>
      </c>
      <c r="AI393" s="183">
        <f t="shared" si="266"/>
        <v>384.81578751251078</v>
      </c>
      <c r="AJ393" s="186">
        <f t="shared" si="267"/>
        <v>-0.1056465843597986</v>
      </c>
      <c r="AK393" s="186"/>
      <c r="AL393" s="186">
        <f t="shared" si="268"/>
        <v>198.658569500852</v>
      </c>
      <c r="AM393" s="187">
        <f t="shared" si="269"/>
        <v>118706.45010648946</v>
      </c>
      <c r="AN393" s="186"/>
      <c r="AO393" s="188">
        <v>1.62</v>
      </c>
      <c r="AQ393" s="186">
        <f t="shared" si="270"/>
        <v>968.01486920848981</v>
      </c>
      <c r="AR393" s="186">
        <f t="shared" si="271"/>
        <v>1.0299577935251232E-3</v>
      </c>
      <c r="AS393" s="187">
        <f>AR393*'DADOS BASE'!W$38</f>
        <v>308961.34985097346</v>
      </c>
      <c r="AU393" s="188">
        <v>6.1622222222221996</v>
      </c>
      <c r="AV393" s="188">
        <v>11.75</v>
      </c>
      <c r="AW393" s="186">
        <f t="shared" si="272"/>
        <v>1.5405555555555499</v>
      </c>
      <c r="AX393" s="186">
        <f>IF($AW$11&gt;0,(AW393/$AW$11)*'DADOS BASE'!W$40,0)</f>
        <v>276.80143658243611</v>
      </c>
      <c r="AY393" s="186">
        <f t="shared" si="273"/>
        <v>2.4956999999999909</v>
      </c>
      <c r="AZ393" s="186">
        <f t="shared" si="274"/>
        <v>1.3052589733792346E-4</v>
      </c>
      <c r="BA393" s="186">
        <f>AZ393*'DADOS BASE'!W$41</f>
        <v>964.30624273459352</v>
      </c>
      <c r="BC393" s="188">
        <v>0</v>
      </c>
      <c r="BD393" s="186">
        <f>IF($BC$11&gt;0,(BC393/$BC$11)*'DADOS BASE'!W$39,0)</f>
        <v>0</v>
      </c>
      <c r="BE393" s="187"/>
    </row>
    <row r="394" spans="2:57" x14ac:dyDescent="0.3">
      <c r="B394" s="223" t="s">
        <v>490</v>
      </c>
      <c r="C394" s="223" t="s">
        <v>508</v>
      </c>
      <c r="D394" s="223" t="s">
        <v>92</v>
      </c>
      <c r="E394" s="223">
        <v>2010</v>
      </c>
      <c r="F394" s="224"/>
      <c r="G394" s="225"/>
      <c r="H394" s="226">
        <f ca="1">IF(AND(E394&gt;=2018,SUMIF('DADOS BASE'!$C$101:$D$104,D394,'DADOS BASE'!$H$101:$H$104)&gt;J394),
SUMIF('DADOS BASE'!$C$101:$D$104,D394,'DADOS BASE'!$H$101:$H$104),
J394)</f>
        <v>1674999.5082693305</v>
      </c>
      <c r="I394" s="225"/>
      <c r="J394" s="226">
        <f t="shared" si="263"/>
        <v>1674999.5082693305</v>
      </c>
      <c r="K394" s="226"/>
      <c r="L394" s="227">
        <v>1699.8866948130999</v>
      </c>
      <c r="M394" s="226">
        <f t="shared" si="264"/>
        <v>1.3261728200927734E-3</v>
      </c>
      <c r="N394" s="226">
        <f>L394*'DADOS BASE'!$I$29</f>
        <v>1673939.8465634149</v>
      </c>
      <c r="O394" s="228"/>
      <c r="P394" s="227">
        <v>0</v>
      </c>
      <c r="Q394" s="226">
        <f>P394*'DADOS BASE'!$I$33</f>
        <v>0</v>
      </c>
      <c r="R394" s="226"/>
      <c r="S394" s="227">
        <v>1.3451086956522</v>
      </c>
      <c r="T394" s="226">
        <f>S394*'DADOS BASE'!$I$37</f>
        <v>1059.6617059156274</v>
      </c>
      <c r="U394" s="226"/>
      <c r="V394" s="226">
        <f t="shared" si="265"/>
        <v>1059.6617059156274</v>
      </c>
      <c r="W394" s="228"/>
      <c r="X394" s="226"/>
      <c r="Y394" s="226"/>
      <c r="Z394" s="224"/>
      <c r="AA394" s="226"/>
      <c r="AB394" s="226"/>
      <c r="AC394" s="226"/>
      <c r="AD394" s="226"/>
      <c r="AE394" s="227">
        <v>1263</v>
      </c>
      <c r="AF394" s="227">
        <v>677.45819017741997</v>
      </c>
      <c r="AG394" s="226" t="s">
        <v>155</v>
      </c>
      <c r="AH394" s="229">
        <v>0.69099999999999995</v>
      </c>
      <c r="AI394" s="225">
        <f t="shared" si="266"/>
        <v>468.12360941259715</v>
      </c>
      <c r="AJ394" s="226">
        <f t="shared" si="267"/>
        <v>-4.2253263395048084E-2</v>
      </c>
      <c r="AK394" s="226"/>
      <c r="AL394" s="226">
        <f t="shared" si="268"/>
        <v>187.26828743702436</v>
      </c>
      <c r="AM394" s="228">
        <f t="shared" si="269"/>
        <v>126866.4350847114</v>
      </c>
      <c r="AN394" s="226"/>
      <c r="AO394" s="227">
        <v>1.8462521294719001</v>
      </c>
      <c r="AP394" s="225"/>
      <c r="AQ394" s="226">
        <f t="shared" si="270"/>
        <v>1250.758626243241</v>
      </c>
      <c r="AR394" s="226">
        <f t="shared" si="271"/>
        <v>1.3307942221707193E-3</v>
      </c>
      <c r="AS394" s="228">
        <f>AR394*'DADOS BASE'!W$38</f>
        <v>399204.68764889485</v>
      </c>
      <c r="AT394" s="225"/>
      <c r="AU394" s="227">
        <v>1.3451086956522</v>
      </c>
      <c r="AV394" s="227">
        <v>7.5</v>
      </c>
      <c r="AW394" s="226">
        <f t="shared" si="272"/>
        <v>0.33627717391305001</v>
      </c>
      <c r="AX394" s="226">
        <f>IF($AW$11&gt;0,(AW394/$AW$11)*'DADOS BASE'!W$40,0)</f>
        <v>60.421063358177321</v>
      </c>
      <c r="AY394" s="226">
        <f t="shared" si="273"/>
        <v>0.62085244842976106</v>
      </c>
      <c r="AZ394" s="226">
        <f t="shared" si="274"/>
        <v>3.2470778918035708E-5</v>
      </c>
      <c r="BA394" s="226">
        <f>AZ394*'DADOS BASE'!W$41</f>
        <v>239.88936644543739</v>
      </c>
      <c r="BB394" s="225"/>
      <c r="BC394" s="227">
        <v>0</v>
      </c>
      <c r="BD394" s="226">
        <f>IF($BC$11&gt;0,(BC394/$BC$11)*'DADOS BASE'!W$39,0)</f>
        <v>0</v>
      </c>
      <c r="BE394" s="187"/>
    </row>
    <row r="395" spans="2:57" x14ac:dyDescent="0.3">
      <c r="B395" s="184" t="s">
        <v>490</v>
      </c>
      <c r="C395" s="184" t="s">
        <v>509</v>
      </c>
      <c r="D395" s="184" t="s">
        <v>94</v>
      </c>
      <c r="E395" s="184">
        <v>2009</v>
      </c>
      <c r="F395" s="185"/>
      <c r="H395" s="186">
        <f ca="1">IF(AND(E395&gt;=2018,SUMIF('DADOS BASE'!$C$101:$D$104,D395,'DADOS BASE'!$H$101:$H$104)&gt;J395),
SUMIF('DADOS BASE'!$C$101:$D$104,D395,'DADOS BASE'!$H$101:$H$104),
J395)</f>
        <v>2842518.599230967</v>
      </c>
      <c r="J395" s="186">
        <f t="shared" si="263"/>
        <v>2842518.599230967</v>
      </c>
      <c r="K395" s="186"/>
      <c r="L395" s="188">
        <v>2886.5789631040002</v>
      </c>
      <c r="M395" s="186">
        <f t="shared" si="264"/>
        <v>2.2519751319901946E-3</v>
      </c>
      <c r="N395" s="186">
        <f>L395*'DADOS BASE'!$I$29</f>
        <v>2842518.599230967</v>
      </c>
      <c r="O395" s="187"/>
      <c r="P395" s="188">
        <v>0</v>
      </c>
      <c r="Q395" s="186">
        <f>P395*'DADOS BASE'!$I$33</f>
        <v>0</v>
      </c>
      <c r="R395" s="186"/>
      <c r="S395" s="188">
        <v>0</v>
      </c>
      <c r="T395" s="186">
        <f>S395*'DADOS BASE'!$I$37</f>
        <v>0</v>
      </c>
      <c r="U395" s="186"/>
      <c r="V395" s="186">
        <f t="shared" si="265"/>
        <v>0</v>
      </c>
      <c r="W395" s="187"/>
      <c r="X395" s="186"/>
      <c r="Y395" s="186"/>
      <c r="Z395" s="185"/>
      <c r="AA395" s="186"/>
      <c r="AB395" s="186"/>
      <c r="AC395" s="186"/>
      <c r="AD395" s="186"/>
      <c r="AE395" s="188">
        <v>1621</v>
      </c>
      <c r="AF395" s="188">
        <v>1321.7371587134</v>
      </c>
      <c r="AG395" s="186" t="s">
        <v>155</v>
      </c>
      <c r="AH395" s="189">
        <v>0.66600000000000004</v>
      </c>
      <c r="AI395" s="183">
        <f t="shared" si="266"/>
        <v>880.27694770312451</v>
      </c>
      <c r="AJ395" s="186">
        <f t="shared" si="267"/>
        <v>-7.5973114972042968E-2</v>
      </c>
      <c r="AK395" s="186"/>
      <c r="AL395" s="186">
        <f t="shared" si="268"/>
        <v>193.3269481092731</v>
      </c>
      <c r="AM395" s="187">
        <f t="shared" si="269"/>
        <v>255527.41109668356</v>
      </c>
      <c r="AN395" s="186"/>
      <c r="AO395" s="188">
        <v>1.7236328125</v>
      </c>
      <c r="AQ395" s="186">
        <f t="shared" si="270"/>
        <v>2278.1895362589366</v>
      </c>
      <c r="AR395" s="186">
        <f t="shared" si="271"/>
        <v>2.4239700676456292E-3</v>
      </c>
      <c r="AS395" s="187">
        <f>AR395*'DADOS BASE'!W$38</f>
        <v>727129.85794779682</v>
      </c>
      <c r="AU395" s="188">
        <v>0</v>
      </c>
      <c r="AV395" s="188">
        <v>0</v>
      </c>
      <c r="AW395" s="186">
        <f t="shared" si="272"/>
        <v>0</v>
      </c>
      <c r="AX395" s="186">
        <f>IF($AW$11&gt;0,(AW395/$AW$11)*'DADOS BASE'!W$40,0)</f>
        <v>0</v>
      </c>
      <c r="AY395" s="186">
        <f t="shared" si="273"/>
        <v>0</v>
      </c>
      <c r="AZ395" s="186">
        <f t="shared" si="274"/>
        <v>0</v>
      </c>
      <c r="BA395" s="186">
        <f>AZ395*'DADOS BASE'!W$41</f>
        <v>0</v>
      </c>
      <c r="BC395" s="188">
        <v>0</v>
      </c>
      <c r="BD395" s="186">
        <f>IF($BC$11&gt;0,(BC395/$BC$11)*'DADOS BASE'!W$39,0)</f>
        <v>0</v>
      </c>
      <c r="BE395" s="187"/>
    </row>
    <row r="396" spans="2:57" x14ac:dyDescent="0.3">
      <c r="F396" s="185"/>
      <c r="H396" s="186"/>
      <c r="J396" s="186"/>
      <c r="K396" s="186"/>
      <c r="L396" s="186"/>
      <c r="M396" s="186"/>
      <c r="N396" s="186"/>
      <c r="O396" s="187"/>
      <c r="P396" s="186"/>
      <c r="Q396" s="186"/>
      <c r="R396" s="186"/>
      <c r="S396" s="186"/>
      <c r="T396" s="186"/>
      <c r="U396" s="186"/>
      <c r="V396" s="186"/>
      <c r="W396" s="187"/>
      <c r="X396" s="186"/>
      <c r="Y396" s="186"/>
      <c r="Z396" s="185"/>
      <c r="AA396" s="186"/>
      <c r="AB396" s="186"/>
      <c r="AC396" s="186"/>
      <c r="AD396" s="186"/>
      <c r="AE396" s="186"/>
      <c r="AF396" s="186"/>
      <c r="AG396" s="186"/>
      <c r="AH396" s="185"/>
      <c r="AJ396" s="186"/>
      <c r="AK396" s="186"/>
      <c r="AL396" s="186"/>
      <c r="AM396" s="187"/>
      <c r="AN396" s="186"/>
      <c r="AO396" s="186"/>
      <c r="AQ396" s="186"/>
      <c r="AR396" s="186"/>
      <c r="AS396" s="187"/>
      <c r="AU396" s="186"/>
      <c r="AV396" s="186"/>
      <c r="AW396" s="186"/>
      <c r="AX396" s="186"/>
      <c r="AY396" s="186"/>
      <c r="AZ396" s="186"/>
      <c r="BA396" s="186"/>
      <c r="BC396" s="186"/>
      <c r="BD396" s="186"/>
      <c r="BE396" s="187"/>
    </row>
    <row r="397" spans="2:57" x14ac:dyDescent="0.3">
      <c r="B397" s="209" t="s">
        <v>510</v>
      </c>
      <c r="C397" s="209" t="s">
        <v>511</v>
      </c>
      <c r="D397" s="211" t="s">
        <v>154</v>
      </c>
      <c r="E397" s="211"/>
      <c r="F397" s="210"/>
      <c r="G397" s="211"/>
      <c r="H397" s="212">
        <f ca="1">SUM(H398:H419)</f>
        <v>46705510.31653972</v>
      </c>
      <c r="I397" s="211"/>
      <c r="J397" s="212">
        <f>SUM(J398:J419)</f>
        <v>45674475.899390519</v>
      </c>
      <c r="K397" s="212"/>
      <c r="L397" s="212">
        <f>SUM(L398:L419)</f>
        <v>43424.810536351222</v>
      </c>
      <c r="M397" s="212">
        <f>SUM(M398:M419)</f>
        <v>3.3878024709946379E-2</v>
      </c>
      <c r="N397" s="212">
        <f>SUM(N398:N419)</f>
        <v>42761979.906112105</v>
      </c>
      <c r="O397" s="214"/>
      <c r="P397" s="212">
        <f>SUM(P398:P419)</f>
        <v>1093.8097611569719</v>
      </c>
      <c r="Q397" s="212">
        <f>SUM(Q398:Q419)</f>
        <v>269278.49799453543</v>
      </c>
      <c r="R397" s="212"/>
      <c r="S397" s="212">
        <f>SUM(S398:S419)</f>
        <v>3355.2357488791431</v>
      </c>
      <c r="T397" s="212">
        <f>SUM(T398:T419)</f>
        <v>2643217.495283877</v>
      </c>
      <c r="U397" s="212"/>
      <c r="V397" s="212">
        <f>SUM(V398:V419)</f>
        <v>2912495.9932784126</v>
      </c>
      <c r="W397" s="214"/>
      <c r="X397" s="212">
        <f>SUMIF(INDICADORES!$D$13:$D$53,C397,INDICADORES!$L$13:$L$53)</f>
        <v>6.7695590588841264E-3</v>
      </c>
      <c r="Y397" s="212">
        <f>X397*'DADOS BASE'!$I$79</f>
        <v>281093.86663497728</v>
      </c>
      <c r="Z397" s="210">
        <f>SUMIF(INDICADORES!$D$13:$D$53,C397,INDICADORES!$R$13:$R$53)</f>
        <v>4.3383574989970766E-2</v>
      </c>
      <c r="AA397" s="212">
        <f>Z397*'DADOS BASE'!$I$84</f>
        <v>1801425.5782841993</v>
      </c>
      <c r="AB397" s="212">
        <f>SUMIF(INDICADORES!$D$13:$D$53,C397,INDICADORES!$Z$13:$Z$53)</f>
        <v>2.490174911842339E-3</v>
      </c>
      <c r="AC397" s="212">
        <f>AB397*'DADOS BASE'!$I$89</f>
        <v>206800.14413894725</v>
      </c>
      <c r="AD397" s="212"/>
      <c r="AE397" s="212">
        <f>SUM(AE398:AE419)</f>
        <v>30931</v>
      </c>
      <c r="AF397" s="212">
        <f>SUM(AF398:AF419)</f>
        <v>20186.470971742448</v>
      </c>
      <c r="AG397" s="212" t="s">
        <v>155</v>
      </c>
      <c r="AH397" s="210"/>
      <c r="AI397" s="211"/>
      <c r="AJ397" s="212"/>
      <c r="AK397" s="212"/>
      <c r="AL397" s="212"/>
      <c r="AM397" s="214">
        <f>SUM(AM398:AM419)</f>
        <v>3742798.7200524644</v>
      </c>
      <c r="AN397" s="212"/>
      <c r="AO397" s="212"/>
      <c r="AP397" s="211"/>
      <c r="AQ397" s="212">
        <f>SUM(AQ398:AQ419)</f>
        <v>43495.054370158541</v>
      </c>
      <c r="AR397" s="212"/>
      <c r="AS397" s="214">
        <f>SUM(AS398:AS419)</f>
        <v>13882318.482394457</v>
      </c>
      <c r="AT397" s="211"/>
      <c r="AU397" s="212">
        <f t="shared" ref="AU397:BA397" si="275">SUM(AU398:AU419)</f>
        <v>1543.7414745948638</v>
      </c>
      <c r="AV397" s="212">
        <f t="shared" si="275"/>
        <v>1277.75</v>
      </c>
      <c r="AW397" s="212">
        <f t="shared" si="275"/>
        <v>385.93536864871595</v>
      </c>
      <c r="AX397" s="212">
        <f t="shared" si="275"/>
        <v>69343.467741033761</v>
      </c>
      <c r="AY397" s="212">
        <f t="shared" si="275"/>
        <v>802.68128589587968</v>
      </c>
      <c r="AZ397" s="212">
        <f t="shared" si="275"/>
        <v>4.1980484480473763E-2</v>
      </c>
      <c r="BA397" s="212">
        <f t="shared" si="275"/>
        <v>310145.6805367755</v>
      </c>
      <c r="BB397" s="211"/>
      <c r="BC397" s="212">
        <f>SUM(BC398:BC419)</f>
        <v>75.5</v>
      </c>
      <c r="BD397" s="212">
        <f>SUM(BD398:BD419)</f>
        <v>407941.90294480615</v>
      </c>
      <c r="BE397" s="187"/>
    </row>
    <row r="398" spans="2:57" x14ac:dyDescent="0.3">
      <c r="B398" s="216" t="s">
        <v>510</v>
      </c>
      <c r="C398" s="218" t="s">
        <v>156</v>
      </c>
      <c r="D398" s="218" t="s">
        <v>157</v>
      </c>
      <c r="E398" s="218"/>
      <c r="F398" s="217"/>
      <c r="G398" s="218"/>
      <c r="H398" s="219"/>
      <c r="I398" s="218"/>
      <c r="J398" s="219"/>
      <c r="K398" s="219"/>
      <c r="L398" s="219">
        <v>0</v>
      </c>
      <c r="M398" s="219">
        <v>0</v>
      </c>
      <c r="N398" s="219">
        <v>0</v>
      </c>
      <c r="O398" s="221"/>
      <c r="P398" s="219"/>
      <c r="Q398" s="219"/>
      <c r="R398" s="219"/>
      <c r="S398" s="219"/>
      <c r="T398" s="219"/>
      <c r="U398" s="219"/>
      <c r="V398" s="219"/>
      <c r="W398" s="221"/>
      <c r="X398" s="219"/>
      <c r="Y398" s="219"/>
      <c r="Z398" s="217"/>
      <c r="AA398" s="219"/>
      <c r="AB398" s="219"/>
      <c r="AC398" s="219"/>
      <c r="AD398" s="219"/>
      <c r="AE398" s="219"/>
      <c r="AF398" s="219"/>
      <c r="AG398" s="219" t="s">
        <v>155</v>
      </c>
      <c r="AH398" s="217"/>
      <c r="AI398" s="218"/>
      <c r="AJ398" s="219"/>
      <c r="AK398" s="219"/>
      <c r="AL398" s="219"/>
      <c r="AM398" s="221"/>
      <c r="AN398" s="219"/>
      <c r="AO398" s="219"/>
      <c r="AP398" s="218"/>
      <c r="AQ398" s="219"/>
      <c r="AR398" s="219"/>
      <c r="AS398" s="221"/>
      <c r="AT398" s="218"/>
      <c r="AU398" s="219"/>
      <c r="AV398" s="219"/>
      <c r="AW398" s="219"/>
      <c r="AX398" s="219"/>
      <c r="AY398" s="219"/>
      <c r="AZ398" s="219"/>
      <c r="BA398" s="219"/>
      <c r="BB398" s="218"/>
      <c r="BC398" s="219"/>
      <c r="BD398" s="219"/>
      <c r="BE398" s="187"/>
    </row>
    <row r="399" spans="2:57" x14ac:dyDescent="0.3">
      <c r="B399" s="184" t="s">
        <v>510</v>
      </c>
      <c r="C399" s="184" t="s">
        <v>512</v>
      </c>
      <c r="D399" s="184" t="s">
        <v>98</v>
      </c>
      <c r="E399" s="184">
        <v>2020</v>
      </c>
      <c r="F399" s="185"/>
      <c r="H399" s="186">
        <f ca="1">IF(AND(E399&gt;=2018,SUMIF('DADOS BASE'!$C$101:$D$104,D399,'DADOS BASE'!$H$101:$H$104)&gt;J399),
SUMIF('DADOS BASE'!$C$101:$D$104,D399,'DADOS BASE'!$H$101:$H$104),
J399)</f>
        <v>700000</v>
      </c>
      <c r="J399" s="186">
        <f t="shared" ref="J399:J419" si="276">N399+Q399+T399</f>
        <v>132682.8766553342</v>
      </c>
      <c r="K399" s="186"/>
      <c r="L399" s="188">
        <v>109.27952311905</v>
      </c>
      <c r="M399" s="186">
        <f t="shared" ref="M399:M419" si="277">L399/$L$11</f>
        <v>8.5254819509672153E-5</v>
      </c>
      <c r="N399" s="186">
        <f>L399*'DADOS BASE'!$I$29</f>
        <v>107611.49476644283</v>
      </c>
      <c r="O399" s="187"/>
      <c r="P399" s="188">
        <v>0</v>
      </c>
      <c r="Q399" s="186">
        <f>P399*'DADOS BASE'!$I$33</f>
        <v>0</v>
      </c>
      <c r="R399" s="186"/>
      <c r="S399" s="188">
        <v>31.824999999999999</v>
      </c>
      <c r="T399" s="186">
        <f>S399*'DADOS BASE'!$I$37</f>
        <v>25071.381888891356</v>
      </c>
      <c r="U399" s="186"/>
      <c r="V399" s="186">
        <f t="shared" ref="V399:V419" si="278">T399+Q399</f>
        <v>25071.381888891356</v>
      </c>
      <c r="W399" s="187"/>
      <c r="X399" s="186"/>
      <c r="Y399" s="186"/>
      <c r="Z399" s="185"/>
      <c r="AA399" s="186"/>
      <c r="AB399" s="186"/>
      <c r="AC399" s="186"/>
      <c r="AD399" s="186"/>
      <c r="AE399" s="188">
        <v>249</v>
      </c>
      <c r="AF399" s="188">
        <v>92.888559694183002</v>
      </c>
      <c r="AG399" s="186" t="s">
        <v>155</v>
      </c>
      <c r="AH399" s="189">
        <v>0.59399999999999997</v>
      </c>
      <c r="AI399" s="183">
        <f t="shared" ref="AI399:AI419" si="279">AF399*AH399</f>
        <v>55.1758044583447</v>
      </c>
      <c r="AJ399" s="186">
        <f t="shared" ref="AJ399:AJ419" si="280">(AH399-$AI$12)*$AJ$12</f>
        <v>-0.17308628751378866</v>
      </c>
      <c r="AK399" s="186"/>
      <c r="AL399" s="186">
        <f t="shared" ref="AL399:AL419" si="281">$AL$11-(AJ399*$AL$11)</f>
        <v>210.77589084534952</v>
      </c>
      <c r="AM399" s="187">
        <f t="shared" ref="AM399:AM419" si="282">AF399*AL399</f>
        <v>19578.66891888285</v>
      </c>
      <c r="AN399" s="186"/>
      <c r="AO399" s="188">
        <v>1.9945652173913</v>
      </c>
      <c r="AQ399" s="186">
        <f t="shared" ref="AQ399:AQ419" si="283">AF399*AO399</f>
        <v>185.27229025959286</v>
      </c>
      <c r="AR399" s="186">
        <f t="shared" ref="AR399:AR419" si="284">AQ399/$AQ$11</f>
        <v>1.9712779766817539E-4</v>
      </c>
      <c r="AS399" s="187">
        <f>AR399*'DADOS BASE'!W$38</f>
        <v>59133.365312239308</v>
      </c>
      <c r="AU399" s="188">
        <v>31.824999999999999</v>
      </c>
      <c r="AV399" s="188">
        <v>82.75</v>
      </c>
      <c r="AW399" s="186">
        <f t="shared" ref="AW399:AW419" si="285">AU399/4</f>
        <v>7.9562499999999998</v>
      </c>
      <c r="AX399" s="186">
        <f>IF($AW$11&gt;0,(AW399/$AW$11)*'DADOS BASE'!W$40,0)</f>
        <v>1429.5501527790216</v>
      </c>
      <c r="AY399" s="186">
        <f t="shared" ref="AY399:AY419" si="286">AO399*AW399</f>
        <v>15.869259510869529</v>
      </c>
      <c r="AZ399" s="186">
        <f t="shared" ref="AZ399:AZ419" si="287">IF($AY$11&gt;0,AY399/$AY$11,0)</f>
        <v>8.2996727881741764E-4</v>
      </c>
      <c r="BA399" s="186">
        <f>AZ399*'DADOS BASE'!W$41</f>
        <v>6131.6768898132241</v>
      </c>
      <c r="BC399" s="188">
        <v>0</v>
      </c>
      <c r="BD399" s="186">
        <f>IF($BC$11&gt;0,(BC399/$BC$11)*'DADOS BASE'!W$39,0)</f>
        <v>0</v>
      </c>
      <c r="BE399" s="187"/>
    </row>
    <row r="400" spans="2:57" x14ac:dyDescent="0.3">
      <c r="B400" s="223" t="s">
        <v>510</v>
      </c>
      <c r="C400" s="223" t="s">
        <v>513</v>
      </c>
      <c r="D400" s="223" t="s">
        <v>98</v>
      </c>
      <c r="E400" s="223">
        <v>2015</v>
      </c>
      <c r="F400" s="224"/>
      <c r="G400" s="225"/>
      <c r="H400" s="226">
        <f ca="1">IF(AND(E400&gt;=2018,SUMIF('DADOS BASE'!$C$101:$D$104,D400,'DADOS BASE'!$H$101:$H$104)&gt;J400),
SUMIF('DADOS BASE'!$C$101:$D$104,D400,'DADOS BASE'!$H$101:$H$104),
J400)</f>
        <v>431319.0274988694</v>
      </c>
      <c r="I400" s="225"/>
      <c r="J400" s="226">
        <f t="shared" si="276"/>
        <v>431319.0274988694</v>
      </c>
      <c r="K400" s="226"/>
      <c r="L400" s="227">
        <v>438.00467356715001</v>
      </c>
      <c r="M400" s="226">
        <f t="shared" si="277"/>
        <v>3.4171094751831555E-4</v>
      </c>
      <c r="N400" s="226">
        <f>L400*'DADOS BASE'!$I$29</f>
        <v>431319.0274988694</v>
      </c>
      <c r="O400" s="228"/>
      <c r="P400" s="227">
        <v>0</v>
      </c>
      <c r="Q400" s="226">
        <f>P400*'DADOS BASE'!$I$33</f>
        <v>0</v>
      </c>
      <c r="R400" s="226"/>
      <c r="S400" s="227">
        <v>0</v>
      </c>
      <c r="T400" s="226">
        <f>S400*'DADOS BASE'!$I$37</f>
        <v>0</v>
      </c>
      <c r="U400" s="226"/>
      <c r="V400" s="226">
        <f t="shared" si="278"/>
        <v>0</v>
      </c>
      <c r="W400" s="228"/>
      <c r="X400" s="226"/>
      <c r="Y400" s="226"/>
      <c r="Z400" s="224"/>
      <c r="AA400" s="226"/>
      <c r="AB400" s="226"/>
      <c r="AC400" s="226"/>
      <c r="AD400" s="226"/>
      <c r="AE400" s="227">
        <v>686</v>
      </c>
      <c r="AF400" s="227">
        <v>333.89180128673001</v>
      </c>
      <c r="AG400" s="226" t="s">
        <v>155</v>
      </c>
      <c r="AH400" s="229">
        <v>0.748</v>
      </c>
      <c r="AI400" s="225">
        <f t="shared" si="279"/>
        <v>249.75106736247406</v>
      </c>
      <c r="AJ400" s="226">
        <f t="shared" si="280"/>
        <v>3.4627998200500595E-2</v>
      </c>
      <c r="AK400" s="226"/>
      <c r="AL400" s="226">
        <f t="shared" si="281"/>
        <v>173.45454110429719</v>
      </c>
      <c r="AM400" s="228">
        <f t="shared" si="282"/>
        <v>57915.049170676939</v>
      </c>
      <c r="AN400" s="226"/>
      <c r="AO400" s="227">
        <v>2.0593750000000002</v>
      </c>
      <c r="AP400" s="225"/>
      <c r="AQ400" s="226">
        <f t="shared" si="283"/>
        <v>687.60842827485965</v>
      </c>
      <c r="AR400" s="226">
        <f t="shared" si="284"/>
        <v>7.3160824499971552E-4</v>
      </c>
      <c r="AS400" s="228">
        <f>AR400*'DADOS BASE'!W$38</f>
        <v>219464.01333939729</v>
      </c>
      <c r="AT400" s="225"/>
      <c r="AU400" s="227">
        <v>0</v>
      </c>
      <c r="AV400" s="227">
        <v>0</v>
      </c>
      <c r="AW400" s="226">
        <f t="shared" si="285"/>
        <v>0</v>
      </c>
      <c r="AX400" s="226">
        <f>IF($AW$11&gt;0,(AW400/$AW$11)*'DADOS BASE'!W$40,0)</f>
        <v>0</v>
      </c>
      <c r="AY400" s="226">
        <f t="shared" si="286"/>
        <v>0</v>
      </c>
      <c r="AZ400" s="226">
        <f t="shared" si="287"/>
        <v>0</v>
      </c>
      <c r="BA400" s="226">
        <f>AZ400*'DADOS BASE'!W$41</f>
        <v>0</v>
      </c>
      <c r="BB400" s="225"/>
      <c r="BC400" s="227">
        <v>0</v>
      </c>
      <c r="BD400" s="226">
        <f>IF($BC$11&gt;0,(BC400/$BC$11)*'DADOS BASE'!W$39,0)</f>
        <v>0</v>
      </c>
      <c r="BE400" s="187"/>
    </row>
    <row r="401" spans="2:57" x14ac:dyDescent="0.3">
      <c r="B401" s="184" t="s">
        <v>510</v>
      </c>
      <c r="C401" s="184" t="s">
        <v>514</v>
      </c>
      <c r="D401" s="184" t="s">
        <v>98</v>
      </c>
      <c r="E401" s="184">
        <v>2016</v>
      </c>
      <c r="F401" s="185"/>
      <c r="H401" s="186">
        <f ca="1">IF(AND(E401&gt;=2018,SUMIF('DADOS BASE'!$C$101:$D$104,D401,'DADOS BASE'!$H$101:$H$104)&gt;J401),
SUMIF('DADOS BASE'!$C$101:$D$104,D401,'DADOS BASE'!$H$101:$H$104),
J401)</f>
        <v>136296.94726199904</v>
      </c>
      <c r="J401" s="186">
        <f t="shared" si="276"/>
        <v>136296.94726199904</v>
      </c>
      <c r="K401" s="186"/>
      <c r="L401" s="188">
        <v>110.36561350551</v>
      </c>
      <c r="M401" s="186">
        <f t="shared" si="277"/>
        <v>8.6102136895638092E-5</v>
      </c>
      <c r="N401" s="186">
        <f>L401*'DADOS BASE'!$I$29</f>
        <v>108681.00721125006</v>
      </c>
      <c r="O401" s="187"/>
      <c r="P401" s="188">
        <v>0</v>
      </c>
      <c r="Q401" s="186">
        <f>P401*'DADOS BASE'!$I$33</f>
        <v>0</v>
      </c>
      <c r="R401" s="186"/>
      <c r="S401" s="188">
        <v>35.055</v>
      </c>
      <c r="T401" s="186">
        <f>S401*'DADOS BASE'!$I$37</f>
        <v>27615.940050748988</v>
      </c>
      <c r="U401" s="186"/>
      <c r="V401" s="186">
        <f t="shared" si="278"/>
        <v>27615.940050748988</v>
      </c>
      <c r="W401" s="187"/>
      <c r="X401" s="186"/>
      <c r="Y401" s="186"/>
      <c r="Z401" s="185"/>
      <c r="AA401" s="186"/>
      <c r="AB401" s="186"/>
      <c r="AC401" s="186"/>
      <c r="AD401" s="186"/>
      <c r="AE401" s="188">
        <v>236</v>
      </c>
      <c r="AF401" s="188">
        <v>73.577075670338004</v>
      </c>
      <c r="AG401" s="186" t="s">
        <v>155</v>
      </c>
      <c r="AH401" s="189">
        <v>0.76300000000000001</v>
      </c>
      <c r="AI401" s="183">
        <f t="shared" si="279"/>
        <v>56.139308736467896</v>
      </c>
      <c r="AJ401" s="186">
        <f t="shared" si="280"/>
        <v>5.4859909146697611E-2</v>
      </c>
      <c r="AK401" s="186"/>
      <c r="AL401" s="186">
        <f t="shared" si="281"/>
        <v>169.81934470094794</v>
      </c>
      <c r="AM401" s="187">
        <f t="shared" si="282"/>
        <v>12494.81077534886</v>
      </c>
      <c r="AN401" s="186"/>
      <c r="AO401" s="188">
        <v>2.1773648648649</v>
      </c>
      <c r="AQ401" s="186">
        <f t="shared" si="283"/>
        <v>160.20413942410002</v>
      </c>
      <c r="AR401" s="186">
        <f t="shared" si="284"/>
        <v>1.7045554485103578E-4</v>
      </c>
      <c r="AS401" s="187">
        <f>AR401*'DADOS BASE'!W$38</f>
        <v>51132.362469447697</v>
      </c>
      <c r="AU401" s="188">
        <v>35.055</v>
      </c>
      <c r="AV401" s="188">
        <v>42.75</v>
      </c>
      <c r="AW401" s="186">
        <f t="shared" si="285"/>
        <v>8.7637499999999999</v>
      </c>
      <c r="AX401" s="186">
        <f>IF($AW$11&gt;0,(AW401/$AW$11)*'DADOS BASE'!W$40,0)</f>
        <v>1574.6388250013702</v>
      </c>
      <c r="AY401" s="186">
        <f t="shared" si="286"/>
        <v>19.081881334459766</v>
      </c>
      <c r="AZ401" s="186">
        <f t="shared" si="287"/>
        <v>9.9798841370202446E-4</v>
      </c>
      <c r="BA401" s="186">
        <f>AZ401*'DADOS BASE'!W$41</f>
        <v>7372.9924646152722</v>
      </c>
      <c r="BC401" s="188">
        <v>0</v>
      </c>
      <c r="BD401" s="186">
        <f>IF($BC$11&gt;0,(BC401/$BC$11)*'DADOS BASE'!W$39,0)</f>
        <v>0</v>
      </c>
      <c r="BE401" s="187"/>
    </row>
    <row r="402" spans="2:57" x14ac:dyDescent="0.3">
      <c r="B402" s="223" t="s">
        <v>510</v>
      </c>
      <c r="C402" s="223" t="s">
        <v>515</v>
      </c>
      <c r="D402" s="223" t="s">
        <v>98</v>
      </c>
      <c r="E402" s="223">
        <v>2020</v>
      </c>
      <c r="F402" s="224"/>
      <c r="G402" s="225"/>
      <c r="H402" s="226">
        <f ca="1">IF(AND(E402&gt;=2018,SUMIF('DADOS BASE'!$C$101:$D$104,D402,'DADOS BASE'!$H$101:$H$104)&gt;J402),
SUMIF('DADOS BASE'!$C$101:$D$104,D402,'DADOS BASE'!$H$101:$H$104),
J402)</f>
        <v>700000</v>
      </c>
      <c r="I402" s="225"/>
      <c r="J402" s="226">
        <f t="shared" si="276"/>
        <v>236282.70619547152</v>
      </c>
      <c r="K402" s="226"/>
      <c r="L402" s="227">
        <v>180.58519832997999</v>
      </c>
      <c r="M402" s="226">
        <f t="shared" si="277"/>
        <v>1.4088420273364964E-4</v>
      </c>
      <c r="N402" s="226">
        <f>L402*'DADOS BASE'!$I$29</f>
        <v>177828.76947416001</v>
      </c>
      <c r="O402" s="228"/>
      <c r="P402" s="227">
        <v>0</v>
      </c>
      <c r="Q402" s="226">
        <f>P402*'DADOS BASE'!$I$33</f>
        <v>0</v>
      </c>
      <c r="R402" s="226"/>
      <c r="S402" s="227">
        <v>74.2</v>
      </c>
      <c r="T402" s="226">
        <f>S402*'DADOS BASE'!$I$37</f>
        <v>58453.936721311511</v>
      </c>
      <c r="U402" s="226"/>
      <c r="V402" s="226">
        <f t="shared" si="278"/>
        <v>58453.936721311511</v>
      </c>
      <c r="W402" s="228"/>
      <c r="X402" s="226"/>
      <c r="Y402" s="226"/>
      <c r="Z402" s="224"/>
      <c r="AA402" s="226"/>
      <c r="AB402" s="226"/>
      <c r="AC402" s="226"/>
      <c r="AD402" s="226"/>
      <c r="AE402" s="227">
        <v>309</v>
      </c>
      <c r="AF402" s="227">
        <v>115.29013221999</v>
      </c>
      <c r="AG402" s="226" t="s">
        <v>155</v>
      </c>
      <c r="AH402" s="229">
        <v>0.59</v>
      </c>
      <c r="AI402" s="225">
        <f t="shared" si="279"/>
        <v>68.021178009794099</v>
      </c>
      <c r="AJ402" s="226">
        <f t="shared" si="280"/>
        <v>-0.17848146376610785</v>
      </c>
      <c r="AK402" s="226"/>
      <c r="AL402" s="226">
        <f t="shared" si="281"/>
        <v>211.74527655290933</v>
      </c>
      <c r="AM402" s="228">
        <f t="shared" si="282"/>
        <v>24412.140930743266</v>
      </c>
      <c r="AN402" s="226"/>
      <c r="AO402" s="227">
        <v>1.9747191011236001</v>
      </c>
      <c r="AP402" s="225"/>
      <c r="AQ402" s="226">
        <f t="shared" si="283"/>
        <v>227.66562626587964</v>
      </c>
      <c r="AR402" s="226">
        <f t="shared" si="284"/>
        <v>2.4223386804177017E-4</v>
      </c>
      <c r="AS402" s="228">
        <f>AR402*'DADOS BASE'!W$38</f>
        <v>72664.04829430746</v>
      </c>
      <c r="AT402" s="225"/>
      <c r="AU402" s="227">
        <v>74.2</v>
      </c>
      <c r="AV402" s="227">
        <v>96.75</v>
      </c>
      <c r="AW402" s="226">
        <f t="shared" si="285"/>
        <v>18.55</v>
      </c>
      <c r="AX402" s="226">
        <f>IF($AW$11&gt;0,(AW402/$AW$11)*'DADOS BASE'!W$40,0)</f>
        <v>3332.9967426929588</v>
      </c>
      <c r="AY402" s="226">
        <f t="shared" si="286"/>
        <v>36.631039325842785</v>
      </c>
      <c r="AZ402" s="226">
        <f t="shared" si="287"/>
        <v>1.9158149130209601E-3</v>
      </c>
      <c r="BA402" s="226">
        <f>AZ402*'DADOS BASE'!W$41</f>
        <v>14153.760427842579</v>
      </c>
      <c r="BB402" s="225"/>
      <c r="BC402" s="227">
        <v>0</v>
      </c>
      <c r="BD402" s="226">
        <f>IF($BC$11&gt;0,(BC402/$BC$11)*'DADOS BASE'!W$39,0)</f>
        <v>0</v>
      </c>
      <c r="BE402" s="187"/>
    </row>
    <row r="403" spans="2:57" x14ac:dyDescent="0.3">
      <c r="B403" s="184" t="s">
        <v>510</v>
      </c>
      <c r="C403" s="184" t="s">
        <v>516</v>
      </c>
      <c r="D403" s="184" t="s">
        <v>98</v>
      </c>
      <c r="E403" s="184">
        <v>2016</v>
      </c>
      <c r="F403" s="185"/>
      <c r="H403" s="186">
        <f ca="1">IF(AND(E403&gt;=2018,SUMIF('DADOS BASE'!$C$101:$D$104,D403,'DADOS BASE'!$H$101:$H$104)&gt;J403),
SUMIF('DADOS BASE'!$C$101:$D$104,D403,'DADOS BASE'!$H$101:$H$104),
J403)</f>
        <v>89458.33506882425</v>
      </c>
      <c r="J403" s="186">
        <f t="shared" si="276"/>
        <v>89458.33506882425</v>
      </c>
      <c r="K403" s="186"/>
      <c r="L403" s="188">
        <v>90.364980980542995</v>
      </c>
      <c r="M403" s="186">
        <f t="shared" si="277"/>
        <v>7.0498570304871255E-5</v>
      </c>
      <c r="N403" s="186">
        <f>L403*'DADOS BASE'!$I$29</f>
        <v>88985.661726064325</v>
      </c>
      <c r="O403" s="187"/>
      <c r="P403" s="188">
        <v>0</v>
      </c>
      <c r="Q403" s="186">
        <f>P403*'DADOS BASE'!$I$33</f>
        <v>0</v>
      </c>
      <c r="R403" s="186"/>
      <c r="S403" s="188">
        <v>0.6</v>
      </c>
      <c r="T403" s="186">
        <f>S403*'DADOS BASE'!$I$37</f>
        <v>472.6733427599313</v>
      </c>
      <c r="U403" s="186"/>
      <c r="V403" s="186">
        <f t="shared" si="278"/>
        <v>472.6733427599313</v>
      </c>
      <c r="W403" s="187"/>
      <c r="X403" s="186"/>
      <c r="Y403" s="186"/>
      <c r="Z403" s="185"/>
      <c r="AA403" s="186"/>
      <c r="AB403" s="186"/>
      <c r="AC403" s="186"/>
      <c r="AD403" s="186"/>
      <c r="AE403" s="188">
        <v>122</v>
      </c>
      <c r="AF403" s="188">
        <v>60.243320653695001</v>
      </c>
      <c r="AG403" s="186" t="s">
        <v>155</v>
      </c>
      <c r="AH403" s="189">
        <v>0.61599999999999999</v>
      </c>
      <c r="AI403" s="183">
        <f t="shared" si="279"/>
        <v>37.109885522676123</v>
      </c>
      <c r="AJ403" s="186">
        <f t="shared" si="280"/>
        <v>-0.14341281812603301</v>
      </c>
      <c r="AK403" s="186"/>
      <c r="AL403" s="186">
        <f t="shared" si="281"/>
        <v>205.4442694537706</v>
      </c>
      <c r="AM403" s="187">
        <f t="shared" si="282"/>
        <v>12376.645001167619</v>
      </c>
      <c r="AN403" s="186"/>
      <c r="AO403" s="188">
        <v>2.3035714285714</v>
      </c>
      <c r="AQ403" s="186">
        <f t="shared" si="283"/>
        <v>138.77479222011712</v>
      </c>
      <c r="AR403" s="186">
        <f t="shared" si="284"/>
        <v>1.4765494140478406E-4</v>
      </c>
      <c r="AS403" s="187">
        <f>AR403*'DADOS BASE'!W$38</f>
        <v>44292.756747294523</v>
      </c>
      <c r="AU403" s="188">
        <v>0.6</v>
      </c>
      <c r="AV403" s="188">
        <v>1</v>
      </c>
      <c r="AW403" s="186">
        <f t="shared" si="285"/>
        <v>0.15</v>
      </c>
      <c r="AX403" s="186">
        <f>IF($AW$11&gt;0,(AW403/$AW$11)*'DADOS BASE'!W$40,0)</f>
        <v>26.951456140374329</v>
      </c>
      <c r="AY403" s="186">
        <f t="shared" si="286"/>
        <v>0.34553571428571001</v>
      </c>
      <c r="AZ403" s="186">
        <f t="shared" si="287"/>
        <v>1.807162686598662E-5</v>
      </c>
      <c r="BA403" s="186">
        <f>AZ403*'DADOS BASE'!W$41</f>
        <v>133.51053667246396</v>
      </c>
      <c r="BC403" s="188">
        <v>0</v>
      </c>
      <c r="BD403" s="186">
        <f>IF($BC$11&gt;0,(BC403/$BC$11)*'DADOS BASE'!W$39,0)</f>
        <v>0</v>
      </c>
      <c r="BE403" s="187"/>
    </row>
    <row r="404" spans="2:57" x14ac:dyDescent="0.3">
      <c r="B404" s="223" t="s">
        <v>510</v>
      </c>
      <c r="C404" s="223" t="s">
        <v>517</v>
      </c>
      <c r="D404" s="223" t="s">
        <v>94</v>
      </c>
      <c r="E404" s="223">
        <v>2009</v>
      </c>
      <c r="F404" s="224"/>
      <c r="G404" s="225"/>
      <c r="H404" s="226">
        <f ca="1">IF(AND(E404&gt;=2018,SUMIF('DADOS BASE'!$C$101:$D$104,D404,'DADOS BASE'!$H$101:$H$104)&gt;J404),
SUMIF('DADOS BASE'!$C$101:$D$104,D404,'DADOS BASE'!$H$101:$H$104),
J404)</f>
        <v>2836194.8787821066</v>
      </c>
      <c r="I404" s="225"/>
      <c r="J404" s="226">
        <f t="shared" si="276"/>
        <v>2836194.8787821066</v>
      </c>
      <c r="K404" s="226"/>
      <c r="L404" s="227">
        <v>2683.9749269571998</v>
      </c>
      <c r="M404" s="226">
        <f t="shared" si="277"/>
        <v>2.093912852428366E-3</v>
      </c>
      <c r="N404" s="226">
        <f>L404*'DADOS BASE'!$I$29</f>
        <v>2643007.0846014628</v>
      </c>
      <c r="O404" s="228"/>
      <c r="P404" s="227">
        <v>0</v>
      </c>
      <c r="Q404" s="226">
        <f>P404*'DADOS BASE'!$I$33</f>
        <v>0</v>
      </c>
      <c r="R404" s="226"/>
      <c r="S404" s="227">
        <v>245.22786885246001</v>
      </c>
      <c r="T404" s="226">
        <f>S404*'DADOS BASE'!$I$37</f>
        <v>193187.79418064386</v>
      </c>
      <c r="U404" s="226"/>
      <c r="V404" s="226">
        <f t="shared" si="278"/>
        <v>193187.79418064386</v>
      </c>
      <c r="W404" s="228"/>
      <c r="X404" s="226"/>
      <c r="Y404" s="226"/>
      <c r="Z404" s="224"/>
      <c r="AA404" s="226"/>
      <c r="AB404" s="226"/>
      <c r="AC404" s="226"/>
      <c r="AD404" s="226"/>
      <c r="AE404" s="227">
        <v>1796</v>
      </c>
      <c r="AF404" s="227">
        <v>1211.6371100673</v>
      </c>
      <c r="AG404" s="226" t="s">
        <v>155</v>
      </c>
      <c r="AH404" s="229">
        <v>0.748</v>
      </c>
      <c r="AI404" s="225">
        <f t="shared" si="279"/>
        <v>906.30455833034034</v>
      </c>
      <c r="AJ404" s="226">
        <f t="shared" si="280"/>
        <v>3.4627998200500595E-2</v>
      </c>
      <c r="AK404" s="226"/>
      <c r="AL404" s="226">
        <f t="shared" si="281"/>
        <v>173.45454110429719</v>
      </c>
      <c r="AM404" s="228">
        <f t="shared" si="282"/>
        <v>210163.95891166036</v>
      </c>
      <c r="AN404" s="226"/>
      <c r="AO404" s="227">
        <v>2.0040983606556999</v>
      </c>
      <c r="AP404" s="225"/>
      <c r="AQ404" s="226">
        <f t="shared" si="283"/>
        <v>2428.2399459954859</v>
      </c>
      <c r="AR404" s="226">
        <f t="shared" si="284"/>
        <v>2.5836221492878909E-3</v>
      </c>
      <c r="AS404" s="228">
        <f>AR404*'DADOS BASE'!W$38</f>
        <v>775021.45405086363</v>
      </c>
      <c r="AT404" s="225"/>
      <c r="AU404" s="227">
        <v>125.50143442623001</v>
      </c>
      <c r="AV404" s="227">
        <v>182.5</v>
      </c>
      <c r="AW404" s="226">
        <f t="shared" si="285"/>
        <v>31.375358606557501</v>
      </c>
      <c r="AX404" s="226">
        <f>IF($AW$11&gt;0,(AW404/$AW$11)*'DADOS BASE'!W$40,0)</f>
        <v>5637.4106758210046</v>
      </c>
      <c r="AY404" s="226">
        <f t="shared" si="286"/>
        <v>62.879304748386595</v>
      </c>
      <c r="AZ404" s="226">
        <f t="shared" si="287"/>
        <v>3.2886074753648042E-3</v>
      </c>
      <c r="BA404" s="226">
        <f>AZ404*'DADOS BASE'!W$41</f>
        <v>24295.751135024395</v>
      </c>
      <c r="BB404" s="225"/>
      <c r="BC404" s="227">
        <v>0</v>
      </c>
      <c r="BD404" s="226">
        <f>IF($BC$11&gt;0,(BC404/$BC$11)*'DADOS BASE'!W$39,0)</f>
        <v>0</v>
      </c>
      <c r="BE404" s="187"/>
    </row>
    <row r="405" spans="2:57" x14ac:dyDescent="0.3">
      <c r="B405" s="184" t="s">
        <v>510</v>
      </c>
      <c r="C405" s="184" t="s">
        <v>518</v>
      </c>
      <c r="D405" s="184" t="s">
        <v>94</v>
      </c>
      <c r="E405" s="184">
        <v>2009</v>
      </c>
      <c r="F405" s="185"/>
      <c r="H405" s="186">
        <f ca="1">IF(AND(E405&gt;=2018,SUMIF('DADOS BASE'!$C$101:$D$104,D405,'DADOS BASE'!$H$101:$H$104)&gt;J405),
SUMIF('DADOS BASE'!$C$101:$D$104,D405,'DADOS BASE'!$H$101:$H$104),
J405)</f>
        <v>3995593.6642915495</v>
      </c>
      <c r="J405" s="186">
        <f t="shared" si="276"/>
        <v>3995593.6642915495</v>
      </c>
      <c r="K405" s="186"/>
      <c r="L405" s="188">
        <v>4051.2415466348002</v>
      </c>
      <c r="M405" s="186">
        <f t="shared" si="277"/>
        <v>3.1605909047769782E-3</v>
      </c>
      <c r="N405" s="186">
        <f>L405*'DADOS BASE'!$I$29</f>
        <v>3989403.9253662191</v>
      </c>
      <c r="O405" s="187"/>
      <c r="P405" s="188">
        <v>25.142731060825</v>
      </c>
      <c r="Q405" s="186">
        <f>P405*'DADOS BASE'!$I$33</f>
        <v>6189.7389253302636</v>
      </c>
      <c r="R405" s="186"/>
      <c r="S405" s="188">
        <v>0</v>
      </c>
      <c r="T405" s="186">
        <f>S405*'DADOS BASE'!$I$37</f>
        <v>0</v>
      </c>
      <c r="U405" s="186"/>
      <c r="V405" s="186">
        <f t="shared" si="278"/>
        <v>6189.7389253302636</v>
      </c>
      <c r="W405" s="187"/>
      <c r="X405" s="186"/>
      <c r="Y405" s="186"/>
      <c r="Z405" s="185"/>
      <c r="AA405" s="186"/>
      <c r="AB405" s="186"/>
      <c r="AC405" s="186"/>
      <c r="AD405" s="186"/>
      <c r="AE405" s="188">
        <v>2679</v>
      </c>
      <c r="AF405" s="188">
        <v>1744.3911375866001</v>
      </c>
      <c r="AG405" s="186" t="s">
        <v>155</v>
      </c>
      <c r="AH405" s="189">
        <v>0.67900000000000005</v>
      </c>
      <c r="AI405" s="183">
        <f t="shared" si="279"/>
        <v>1184.4415824213015</v>
      </c>
      <c r="AJ405" s="186">
        <f t="shared" si="280"/>
        <v>-5.843879215200555E-2</v>
      </c>
      <c r="AK405" s="186"/>
      <c r="AL405" s="186">
        <f t="shared" si="281"/>
        <v>190.17644455970373</v>
      </c>
      <c r="AM405" s="187">
        <f t="shared" si="282"/>
        <v>331742.10446767655</v>
      </c>
      <c r="AN405" s="186"/>
      <c r="AO405" s="188">
        <v>2.2528532073987</v>
      </c>
      <c r="AQ405" s="186">
        <f t="shared" si="283"/>
        <v>3929.8571692698388</v>
      </c>
      <c r="AR405" s="186">
        <f t="shared" si="284"/>
        <v>4.1813273201470689E-3</v>
      </c>
      <c r="AS405" s="187">
        <f>AR405*'DADOS BASE'!W$38</f>
        <v>1254292.6915285098</v>
      </c>
      <c r="AU405" s="188">
        <v>0</v>
      </c>
      <c r="AV405" s="188">
        <v>8.5</v>
      </c>
      <c r="AW405" s="186">
        <f t="shared" si="285"/>
        <v>0</v>
      </c>
      <c r="AX405" s="186">
        <f>IF($AW$11&gt;0,(AW405/$AW$11)*'DADOS BASE'!W$40,0)</f>
        <v>0</v>
      </c>
      <c r="AY405" s="186">
        <f t="shared" si="286"/>
        <v>0</v>
      </c>
      <c r="AZ405" s="186">
        <f t="shared" si="287"/>
        <v>0</v>
      </c>
      <c r="BA405" s="186">
        <f>AZ405*'DADOS BASE'!W$41</f>
        <v>0</v>
      </c>
      <c r="BC405" s="188">
        <v>0</v>
      </c>
      <c r="BD405" s="186">
        <f>IF($BC$11&gt;0,(BC405/$BC$11)*'DADOS BASE'!W$39,0)</f>
        <v>0</v>
      </c>
      <c r="BE405" s="187"/>
    </row>
    <row r="406" spans="2:57" x14ac:dyDescent="0.3">
      <c r="B406" s="223" t="s">
        <v>510</v>
      </c>
      <c r="C406" s="223" t="s">
        <v>519</v>
      </c>
      <c r="D406" s="223" t="s">
        <v>94</v>
      </c>
      <c r="E406" s="223">
        <v>2009</v>
      </c>
      <c r="F406" s="224"/>
      <c r="G406" s="225"/>
      <c r="H406" s="226">
        <f ca="1">IF(AND(E406&gt;=2018,SUMIF('DADOS BASE'!$C$101:$D$104,D406,'DADOS BASE'!$H$101:$H$104)&gt;J406),
SUMIF('DADOS BASE'!$C$101:$D$104,D406,'DADOS BASE'!$H$101:$H$104),
J406)</f>
        <v>7882910.7027536677</v>
      </c>
      <c r="I406" s="225"/>
      <c r="J406" s="226">
        <f t="shared" si="276"/>
        <v>7882910.7027536677</v>
      </c>
      <c r="K406" s="226"/>
      <c r="L406" s="227">
        <v>7119.1903215816001</v>
      </c>
      <c r="M406" s="226">
        <f t="shared" si="277"/>
        <v>5.5540623586015567E-3</v>
      </c>
      <c r="N406" s="226">
        <f>L406*'DADOS BASE'!$I$29</f>
        <v>7010523.9313460942</v>
      </c>
      <c r="O406" s="228"/>
      <c r="P406" s="227">
        <v>0</v>
      </c>
      <c r="Q406" s="226">
        <f>P406*'DADOS BASE'!$I$33</f>
        <v>0</v>
      </c>
      <c r="R406" s="226"/>
      <c r="S406" s="227">
        <v>1107.3864664933999</v>
      </c>
      <c r="T406" s="226">
        <f>S406*'DADOS BASE'!$I$37</f>
        <v>872386.77140757337</v>
      </c>
      <c r="U406" s="226"/>
      <c r="V406" s="226">
        <f t="shared" si="278"/>
        <v>872386.77140757337</v>
      </c>
      <c r="W406" s="228"/>
      <c r="X406" s="226"/>
      <c r="Y406" s="226"/>
      <c r="Z406" s="224"/>
      <c r="AA406" s="226"/>
      <c r="AB406" s="226"/>
      <c r="AC406" s="226"/>
      <c r="AD406" s="226"/>
      <c r="AE406" s="227">
        <v>4252</v>
      </c>
      <c r="AF406" s="227">
        <v>3124.4750665812999</v>
      </c>
      <c r="AG406" s="226" t="s">
        <v>155</v>
      </c>
      <c r="AH406" s="229">
        <v>0.72</v>
      </c>
      <c r="AI406" s="225">
        <f t="shared" si="279"/>
        <v>2249.6220479385356</v>
      </c>
      <c r="AJ406" s="226">
        <f t="shared" si="280"/>
        <v>-3.1382355657338435E-3</v>
      </c>
      <c r="AK406" s="226"/>
      <c r="AL406" s="226">
        <f t="shared" si="281"/>
        <v>180.2402410572158</v>
      </c>
      <c r="AM406" s="228">
        <f t="shared" si="282"/>
        <v>563156.13917787385</v>
      </c>
      <c r="AN406" s="226"/>
      <c r="AO406" s="227">
        <v>2.1721006054959999</v>
      </c>
      <c r="AP406" s="225"/>
      <c r="AQ406" s="226">
        <f t="shared" si="283"/>
        <v>6786.6741839783963</v>
      </c>
      <c r="AR406" s="226">
        <f t="shared" si="284"/>
        <v>7.2209510310722418E-3</v>
      </c>
      <c r="AS406" s="228">
        <f>AR406*'DADOS BASE'!W$38</f>
        <v>2166103.1081012343</v>
      </c>
      <c r="AT406" s="225"/>
      <c r="AU406" s="227">
        <v>442.95458659734999</v>
      </c>
      <c r="AV406" s="227">
        <v>156</v>
      </c>
      <c r="AW406" s="226">
        <f t="shared" si="285"/>
        <v>110.7386466493375</v>
      </c>
      <c r="AX406" s="226">
        <f>IF($AW$11&gt;0,(AW406/$AW$11)*'DADOS BASE'!W$40,0)</f>
        <v>19897.118521426866</v>
      </c>
      <c r="AY406" s="226">
        <f t="shared" si="286"/>
        <v>240.53548143883356</v>
      </c>
      <c r="AZ406" s="226">
        <f t="shared" si="287"/>
        <v>1.2580081562853427E-2</v>
      </c>
      <c r="BA406" s="226">
        <f>AZ406*'DADOS BASE'!W$41</f>
        <v>92939.803001418026</v>
      </c>
      <c r="BB406" s="225"/>
      <c r="BC406" s="227">
        <v>0</v>
      </c>
      <c r="BD406" s="226">
        <f>IF($BC$11&gt;0,(BC406/$BC$11)*'DADOS BASE'!W$39,0)</f>
        <v>0</v>
      </c>
      <c r="BE406" s="187"/>
    </row>
    <row r="407" spans="2:57" x14ac:dyDescent="0.3">
      <c r="B407" s="184" t="s">
        <v>510</v>
      </c>
      <c r="C407" s="184" t="s">
        <v>520</v>
      </c>
      <c r="D407" s="184" t="s">
        <v>94</v>
      </c>
      <c r="E407" s="184">
        <v>2015</v>
      </c>
      <c r="F407" s="185"/>
      <c r="H407" s="186">
        <f ca="1">IF(AND(E407&gt;=2018,SUMIF('DADOS BASE'!$C$101:$D$104,D407,'DADOS BASE'!$H$101:$H$104)&gt;J407),
SUMIF('DADOS BASE'!$C$101:$D$104,D407,'DADOS BASE'!$H$101:$H$104),
J407)</f>
        <v>1078043.7392780413</v>
      </c>
      <c r="J407" s="186">
        <f t="shared" si="276"/>
        <v>1078043.7392780413</v>
      </c>
      <c r="K407" s="186"/>
      <c r="L407" s="188">
        <v>1094.7539199736</v>
      </c>
      <c r="M407" s="186">
        <f t="shared" si="277"/>
        <v>8.5407627331222479E-4</v>
      </c>
      <c r="N407" s="186">
        <f>L407*'DADOS BASE'!$I$29</f>
        <v>1078043.7392780413</v>
      </c>
      <c r="O407" s="187"/>
      <c r="P407" s="188">
        <v>0</v>
      </c>
      <c r="Q407" s="186">
        <f>P407*'DADOS BASE'!$I$33</f>
        <v>0</v>
      </c>
      <c r="R407" s="186"/>
      <c r="S407" s="188">
        <v>0</v>
      </c>
      <c r="T407" s="186">
        <f>S407*'DADOS BASE'!$I$37</f>
        <v>0</v>
      </c>
      <c r="U407" s="186"/>
      <c r="V407" s="186">
        <f t="shared" si="278"/>
        <v>0</v>
      </c>
      <c r="W407" s="187"/>
      <c r="X407" s="186"/>
      <c r="Y407" s="186"/>
      <c r="Z407" s="185"/>
      <c r="AA407" s="186"/>
      <c r="AB407" s="186"/>
      <c r="AC407" s="186"/>
      <c r="AD407" s="186"/>
      <c r="AE407" s="188">
        <v>489</v>
      </c>
      <c r="AF407" s="188">
        <v>495.64619202716</v>
      </c>
      <c r="AG407" s="186" t="s">
        <v>155</v>
      </c>
      <c r="AH407" s="189">
        <v>0.64</v>
      </c>
      <c r="AI407" s="183">
        <f t="shared" si="279"/>
        <v>317.21356289738242</v>
      </c>
      <c r="AJ407" s="186">
        <f t="shared" si="280"/>
        <v>-0.1110417606121178</v>
      </c>
      <c r="AK407" s="186"/>
      <c r="AL407" s="186">
        <f t="shared" si="281"/>
        <v>199.62795520841181</v>
      </c>
      <c r="AM407" s="187">
        <f t="shared" si="282"/>
        <v>98944.83582121777</v>
      </c>
      <c r="AN407" s="186"/>
      <c r="AO407" s="188">
        <v>2.3108108108107999</v>
      </c>
      <c r="AQ407" s="186">
        <f t="shared" si="283"/>
        <v>1145.3445788735671</v>
      </c>
      <c r="AR407" s="186">
        <f t="shared" si="284"/>
        <v>1.2186347677150275E-3</v>
      </c>
      <c r="AS407" s="187">
        <f>AR407*'DADOS BASE'!W$38</f>
        <v>365559.68135346548</v>
      </c>
      <c r="AU407" s="188">
        <v>0</v>
      </c>
      <c r="AV407" s="188">
        <v>0</v>
      </c>
      <c r="AW407" s="186">
        <f t="shared" si="285"/>
        <v>0</v>
      </c>
      <c r="AX407" s="186">
        <f>IF($AW$11&gt;0,(AW407/$AW$11)*'DADOS BASE'!W$40,0)</f>
        <v>0</v>
      </c>
      <c r="AY407" s="186">
        <f t="shared" si="286"/>
        <v>0</v>
      </c>
      <c r="AZ407" s="186">
        <f t="shared" si="287"/>
        <v>0</v>
      </c>
      <c r="BA407" s="186">
        <f>AZ407*'DADOS BASE'!W$41</f>
        <v>0</v>
      </c>
      <c r="BC407" s="188">
        <v>0</v>
      </c>
      <c r="BD407" s="186">
        <f>IF($BC$11&gt;0,(BC407/$BC$11)*'DADOS BASE'!W$39,0)</f>
        <v>0</v>
      </c>
      <c r="BE407" s="187"/>
    </row>
    <row r="408" spans="2:57" x14ac:dyDescent="0.3">
      <c r="B408" s="223" t="s">
        <v>510</v>
      </c>
      <c r="C408" s="223" t="s">
        <v>521</v>
      </c>
      <c r="D408" s="223" t="s">
        <v>94</v>
      </c>
      <c r="E408" s="223">
        <v>2016</v>
      </c>
      <c r="F408" s="224"/>
      <c r="G408" s="225"/>
      <c r="H408" s="226">
        <f ca="1">IF(AND(E408&gt;=2018,SUMIF('DADOS BASE'!$C$101:$D$104,D408,'DADOS BASE'!$H$101:$H$104)&gt;J408),
SUMIF('DADOS BASE'!$C$101:$D$104,D408,'DADOS BASE'!$H$101:$H$104),
J408)</f>
        <v>666192.06269154267</v>
      </c>
      <c r="I408" s="225"/>
      <c r="J408" s="226">
        <f t="shared" si="276"/>
        <v>666192.06269154267</v>
      </c>
      <c r="K408" s="226"/>
      <c r="L408" s="227">
        <v>676.51835033639998</v>
      </c>
      <c r="M408" s="226">
        <f t="shared" si="277"/>
        <v>5.2778826450475757E-4</v>
      </c>
      <c r="N408" s="226">
        <f>L408*'DADOS BASE'!$I$29</f>
        <v>666192.06269154267</v>
      </c>
      <c r="O408" s="228"/>
      <c r="P408" s="227">
        <v>0</v>
      </c>
      <c r="Q408" s="226">
        <f>P408*'DADOS BASE'!$I$33</f>
        <v>0</v>
      </c>
      <c r="R408" s="226"/>
      <c r="S408" s="227">
        <v>0</v>
      </c>
      <c r="T408" s="226">
        <f>S408*'DADOS BASE'!$I$37</f>
        <v>0</v>
      </c>
      <c r="U408" s="226"/>
      <c r="V408" s="226">
        <f t="shared" si="278"/>
        <v>0</v>
      </c>
      <c r="W408" s="228"/>
      <c r="X408" s="226"/>
      <c r="Y408" s="226"/>
      <c r="Z408" s="224"/>
      <c r="AA408" s="226"/>
      <c r="AB408" s="226"/>
      <c r="AC408" s="226"/>
      <c r="AD408" s="226"/>
      <c r="AE408" s="227">
        <v>566</v>
      </c>
      <c r="AF408" s="227">
        <v>365.43104592430001</v>
      </c>
      <c r="AG408" s="226" t="s">
        <v>155</v>
      </c>
      <c r="AH408" s="229">
        <v>0.623</v>
      </c>
      <c r="AI408" s="225">
        <f t="shared" si="279"/>
        <v>227.66354161083891</v>
      </c>
      <c r="AJ408" s="226">
        <f t="shared" si="280"/>
        <v>-0.13397125968447443</v>
      </c>
      <c r="AK408" s="226"/>
      <c r="AL408" s="226">
        <f t="shared" si="281"/>
        <v>203.74784446554096</v>
      </c>
      <c r="AM408" s="228">
        <f t="shared" si="282"/>
        <v>74455.787907864229</v>
      </c>
      <c r="AN408" s="226"/>
      <c r="AO408" s="227">
        <v>2.2622222222222002</v>
      </c>
      <c r="AP408" s="225"/>
      <c r="AQ408" s="226">
        <f t="shared" si="283"/>
        <v>826.68623277985284</v>
      </c>
      <c r="AR408" s="226">
        <f t="shared" si="284"/>
        <v>8.7958558833681406E-4</v>
      </c>
      <c r="AS408" s="228">
        <f>AR408*'DADOS BASE'!W$38</f>
        <v>263853.48253144306</v>
      </c>
      <c r="AT408" s="225"/>
      <c r="AU408" s="227">
        <v>0</v>
      </c>
      <c r="AV408" s="227">
        <v>0</v>
      </c>
      <c r="AW408" s="226">
        <f t="shared" si="285"/>
        <v>0</v>
      </c>
      <c r="AX408" s="226">
        <f>IF($AW$11&gt;0,(AW408/$AW$11)*'DADOS BASE'!W$40,0)</f>
        <v>0</v>
      </c>
      <c r="AY408" s="226">
        <f t="shared" si="286"/>
        <v>0</v>
      </c>
      <c r="AZ408" s="226">
        <f t="shared" si="287"/>
        <v>0</v>
      </c>
      <c r="BA408" s="226">
        <f>AZ408*'DADOS BASE'!W$41</f>
        <v>0</v>
      </c>
      <c r="BB408" s="225"/>
      <c r="BC408" s="227">
        <v>0</v>
      </c>
      <c r="BD408" s="226">
        <f>IF($BC$11&gt;0,(BC408/$BC$11)*'DADOS BASE'!W$39,0)</f>
        <v>0</v>
      </c>
      <c r="BE408" s="187"/>
    </row>
    <row r="409" spans="2:57" x14ac:dyDescent="0.3">
      <c r="B409" s="184" t="s">
        <v>510</v>
      </c>
      <c r="C409" s="184" t="s">
        <v>522</v>
      </c>
      <c r="D409" s="184" t="s">
        <v>94</v>
      </c>
      <c r="E409" s="184">
        <v>2013</v>
      </c>
      <c r="F409" s="185"/>
      <c r="H409" s="186">
        <f ca="1">IF(AND(E409&gt;=2018,SUMIF('DADOS BASE'!$C$101:$D$104,D409,'DADOS BASE'!$H$101:$H$104)&gt;J409),
SUMIF('DADOS BASE'!$C$101:$D$104,D409,'DADOS BASE'!$H$101:$H$104),
J409)</f>
        <v>933678.81112916477</v>
      </c>
      <c r="J409" s="186">
        <f t="shared" si="276"/>
        <v>933678.81112916477</v>
      </c>
      <c r="K409" s="186"/>
      <c r="L409" s="188">
        <v>948.15126811503001</v>
      </c>
      <c r="M409" s="186">
        <f t="shared" si="277"/>
        <v>7.3970367845540403E-4</v>
      </c>
      <c r="N409" s="186">
        <f>L409*'DADOS BASE'!$I$29</f>
        <v>933678.81112916477</v>
      </c>
      <c r="O409" s="187"/>
      <c r="P409" s="188">
        <v>0</v>
      </c>
      <c r="Q409" s="186">
        <f>P409*'DADOS BASE'!$I$33</f>
        <v>0</v>
      </c>
      <c r="R409" s="186"/>
      <c r="S409" s="188">
        <v>0</v>
      </c>
      <c r="T409" s="186">
        <f>S409*'DADOS BASE'!$I$37</f>
        <v>0</v>
      </c>
      <c r="U409" s="186"/>
      <c r="V409" s="186">
        <f t="shared" si="278"/>
        <v>0</v>
      </c>
      <c r="W409" s="187"/>
      <c r="X409" s="186"/>
      <c r="Y409" s="186"/>
      <c r="Z409" s="185"/>
      <c r="AA409" s="186"/>
      <c r="AB409" s="186"/>
      <c r="AC409" s="186"/>
      <c r="AD409" s="186"/>
      <c r="AE409" s="188">
        <v>962</v>
      </c>
      <c r="AF409" s="188">
        <v>609.42008039951997</v>
      </c>
      <c r="AG409" s="186" t="s">
        <v>155</v>
      </c>
      <c r="AH409" s="189">
        <v>0.67300000000000004</v>
      </c>
      <c r="AI409" s="183">
        <f t="shared" si="279"/>
        <v>410.13971410887694</v>
      </c>
      <c r="AJ409" s="186">
        <f t="shared" si="280"/>
        <v>-6.6531556530484356E-2</v>
      </c>
      <c r="AK409" s="186"/>
      <c r="AL409" s="186">
        <f t="shared" si="281"/>
        <v>191.63052312104344</v>
      </c>
      <c r="AM409" s="187">
        <f t="shared" si="282"/>
        <v>116783.48880742837</v>
      </c>
      <c r="AN409" s="186"/>
      <c r="AO409" s="188">
        <v>2.1876876876877001</v>
      </c>
      <c r="AQ409" s="186">
        <f t="shared" si="283"/>
        <v>1333.220806519678</v>
      </c>
      <c r="AR409" s="186">
        <f t="shared" si="284"/>
        <v>1.4185331277892211E-3</v>
      </c>
      <c r="AS409" s="187">
        <f>AR409*'DADOS BASE'!W$38</f>
        <v>425524.14547984162</v>
      </c>
      <c r="AU409" s="188">
        <v>0</v>
      </c>
      <c r="AV409" s="188">
        <v>0</v>
      </c>
      <c r="AW409" s="186">
        <f t="shared" si="285"/>
        <v>0</v>
      </c>
      <c r="AX409" s="186">
        <f>IF($AW$11&gt;0,(AW409/$AW$11)*'DADOS BASE'!W$40,0)</f>
        <v>0</v>
      </c>
      <c r="AY409" s="186">
        <f t="shared" si="286"/>
        <v>0</v>
      </c>
      <c r="AZ409" s="186">
        <f t="shared" si="287"/>
        <v>0</v>
      </c>
      <c r="BA409" s="186">
        <f>AZ409*'DADOS BASE'!W$41</f>
        <v>0</v>
      </c>
      <c r="BC409" s="188">
        <v>0</v>
      </c>
      <c r="BD409" s="186">
        <f>IF($BC$11&gt;0,(BC409/$BC$11)*'DADOS BASE'!W$39,0)</f>
        <v>0</v>
      </c>
      <c r="BE409" s="187"/>
    </row>
    <row r="410" spans="2:57" x14ac:dyDescent="0.3">
      <c r="B410" s="223" t="s">
        <v>510</v>
      </c>
      <c r="C410" s="223" t="s">
        <v>523</v>
      </c>
      <c r="D410" s="223" t="s">
        <v>94</v>
      </c>
      <c r="E410" s="223">
        <v>2016</v>
      </c>
      <c r="F410" s="224"/>
      <c r="G410" s="225"/>
      <c r="H410" s="226">
        <f ca="1">IF(AND(E410&gt;=2018,SUMIF('DADOS BASE'!$C$101:$D$104,D410,'DADOS BASE'!$H$101:$H$104)&gt;J410),
SUMIF('DADOS BASE'!$C$101:$D$104,D410,'DADOS BASE'!$H$101:$H$104),
J410)</f>
        <v>1038886.784565802</v>
      </c>
      <c r="I410" s="225"/>
      <c r="J410" s="226">
        <f t="shared" si="276"/>
        <v>1038886.784565802</v>
      </c>
      <c r="K410" s="226"/>
      <c r="L410" s="227">
        <v>1052.9500142028</v>
      </c>
      <c r="M410" s="226">
        <f t="shared" si="277"/>
        <v>8.2146280338148343E-4</v>
      </c>
      <c r="N410" s="226">
        <f>L410*'DADOS BASE'!$I$29</f>
        <v>1036877.9228590722</v>
      </c>
      <c r="O410" s="228"/>
      <c r="P410" s="227">
        <v>0</v>
      </c>
      <c r="Q410" s="226">
        <f>P410*'DADOS BASE'!$I$33</f>
        <v>0</v>
      </c>
      <c r="R410" s="226"/>
      <c r="S410" s="227">
        <v>2.5499999999999998</v>
      </c>
      <c r="T410" s="226">
        <f>S410*'DADOS BASE'!$I$37</f>
        <v>2008.861706729708</v>
      </c>
      <c r="U410" s="226"/>
      <c r="V410" s="226">
        <f t="shared" si="278"/>
        <v>2008.861706729708</v>
      </c>
      <c r="W410" s="228"/>
      <c r="X410" s="226"/>
      <c r="Y410" s="226"/>
      <c r="Z410" s="224"/>
      <c r="AA410" s="226"/>
      <c r="AB410" s="226"/>
      <c r="AC410" s="226"/>
      <c r="AD410" s="226"/>
      <c r="AE410" s="227">
        <v>494</v>
      </c>
      <c r="AF410" s="227">
        <v>421.18000568113001</v>
      </c>
      <c r="AG410" s="226" t="s">
        <v>155</v>
      </c>
      <c r="AH410" s="229">
        <v>0.61299999999999999</v>
      </c>
      <c r="AI410" s="225">
        <f t="shared" si="279"/>
        <v>258.18334348253268</v>
      </c>
      <c r="AJ410" s="226">
        <f t="shared" si="280"/>
        <v>-0.14745920031527243</v>
      </c>
      <c r="AK410" s="226"/>
      <c r="AL410" s="226">
        <f t="shared" si="281"/>
        <v>206.17130873444046</v>
      </c>
      <c r="AM410" s="228">
        <f t="shared" si="282"/>
        <v>86835.232984057642</v>
      </c>
      <c r="AN410" s="226"/>
      <c r="AO410" s="227">
        <v>2.2807153965785001</v>
      </c>
      <c r="AP410" s="225"/>
      <c r="AQ410" s="226">
        <f t="shared" si="283"/>
        <v>960.5917236879734</v>
      </c>
      <c r="AR410" s="226">
        <f t="shared" si="284"/>
        <v>1.0220596435849489E-3</v>
      </c>
      <c r="AS410" s="228">
        <f>AR410*'DADOS BASE'!W$38</f>
        <v>306592.1041574293</v>
      </c>
      <c r="AT410" s="225"/>
      <c r="AU410" s="227">
        <v>2.5499999999999998</v>
      </c>
      <c r="AV410" s="227">
        <v>8.5</v>
      </c>
      <c r="AW410" s="226">
        <f t="shared" si="285"/>
        <v>0.63749999999999996</v>
      </c>
      <c r="AX410" s="226">
        <f>IF($AW$11&gt;0,(AW410/$AW$11)*'DADOS BASE'!W$40,0)</f>
        <v>114.5436885965909</v>
      </c>
      <c r="AY410" s="226">
        <f t="shared" si="286"/>
        <v>1.4539560653187937</v>
      </c>
      <c r="AZ410" s="226">
        <f t="shared" si="287"/>
        <v>7.6042360907021162E-5</v>
      </c>
      <c r="BA410" s="226">
        <f>AZ410*'DADOS BASE'!W$41</f>
        <v>561.78984270895717</v>
      </c>
      <c r="BB410" s="225"/>
      <c r="BC410" s="227">
        <v>0</v>
      </c>
      <c r="BD410" s="226">
        <f>IF($BC$11&gt;0,(BC410/$BC$11)*'DADOS BASE'!W$39,0)</f>
        <v>0</v>
      </c>
      <c r="BE410" s="187"/>
    </row>
    <row r="411" spans="2:57" x14ac:dyDescent="0.3">
      <c r="B411" s="184" t="s">
        <v>510</v>
      </c>
      <c r="C411" s="184" t="s">
        <v>524</v>
      </c>
      <c r="D411" s="184" t="s">
        <v>94</v>
      </c>
      <c r="E411" s="184">
        <v>2016</v>
      </c>
      <c r="F411" s="185"/>
      <c r="H411" s="186">
        <f ca="1">IF(AND(E411&gt;=2018,SUMIF('DADOS BASE'!$C$101:$D$104,D411,'DADOS BASE'!$H$101:$H$104)&gt;J411),
SUMIF('DADOS BASE'!$C$101:$D$104,D411,'DADOS BASE'!$H$101:$H$104),
J411)</f>
        <v>955529.57491842413</v>
      </c>
      <c r="J411" s="186">
        <f t="shared" si="276"/>
        <v>955529.57491842413</v>
      </c>
      <c r="K411" s="186"/>
      <c r="L411" s="188">
        <v>966.68032076967995</v>
      </c>
      <c r="M411" s="186">
        <f t="shared" si="277"/>
        <v>7.5415918662994524E-4</v>
      </c>
      <c r="N411" s="186">
        <f>L411*'DADOS BASE'!$I$29</f>
        <v>951925.03874676512</v>
      </c>
      <c r="O411" s="187"/>
      <c r="P411" s="188">
        <v>0</v>
      </c>
      <c r="Q411" s="186">
        <f>P411*'DADOS BASE'!$I$33</f>
        <v>0</v>
      </c>
      <c r="R411" s="186"/>
      <c r="S411" s="188">
        <v>4.5755102040816</v>
      </c>
      <c r="T411" s="186">
        <f>S411*'DADOS BASE'!$I$37</f>
        <v>3604.5361716590423</v>
      </c>
      <c r="U411" s="186"/>
      <c r="V411" s="186">
        <f t="shared" si="278"/>
        <v>3604.5361716590423</v>
      </c>
      <c r="W411" s="187"/>
      <c r="X411" s="186"/>
      <c r="Y411" s="186"/>
      <c r="Z411" s="185"/>
      <c r="AA411" s="186"/>
      <c r="AB411" s="186"/>
      <c r="AC411" s="186"/>
      <c r="AD411" s="186"/>
      <c r="AE411" s="188">
        <v>365</v>
      </c>
      <c r="AF411" s="188">
        <v>430.37532081331</v>
      </c>
      <c r="AG411" s="186" t="s">
        <v>155</v>
      </c>
      <c r="AH411" s="189">
        <v>0.61499999999999999</v>
      </c>
      <c r="AI411" s="183">
        <f t="shared" si="279"/>
        <v>264.68082230018564</v>
      </c>
      <c r="AJ411" s="186">
        <f t="shared" si="280"/>
        <v>-0.14476161218911282</v>
      </c>
      <c r="AK411" s="186"/>
      <c r="AL411" s="186">
        <f t="shared" si="281"/>
        <v>205.68661588066055</v>
      </c>
      <c r="AM411" s="187">
        <f t="shared" si="282"/>
        <v>88522.443296643352</v>
      </c>
      <c r="AN411" s="186"/>
      <c r="AO411" s="188">
        <v>2.1987381703470001</v>
      </c>
      <c r="AQ411" s="186">
        <f t="shared" si="283"/>
        <v>946.28264544756041</v>
      </c>
      <c r="AR411" s="186">
        <f t="shared" si="284"/>
        <v>1.0068349325596682E-3</v>
      </c>
      <c r="AS411" s="187">
        <f>AR411*'DADOS BASE'!W$38</f>
        <v>302025.07500435854</v>
      </c>
      <c r="AU411" s="188">
        <v>4.5755102040816</v>
      </c>
      <c r="AV411" s="188">
        <v>9.5</v>
      </c>
      <c r="AW411" s="186">
        <f t="shared" si="285"/>
        <v>1.1438775510204</v>
      </c>
      <c r="AX411" s="186">
        <f>IF($AW$11&gt;0,(AW411/$AW$11)*'DADOS BASE'!W$40,0)</f>
        <v>205.52777097523409</v>
      </c>
      <c r="AY411" s="186">
        <f t="shared" si="286"/>
        <v>2.5150872336316015</v>
      </c>
      <c r="AZ411" s="186">
        <f t="shared" si="287"/>
        <v>1.3153985577309834E-4</v>
      </c>
      <c r="BA411" s="186">
        <f>AZ411*'DADOS BASE'!W$41</f>
        <v>971.79721938255443</v>
      </c>
      <c r="BC411" s="188">
        <v>0</v>
      </c>
      <c r="BD411" s="186">
        <f>IF($BC$11&gt;0,(BC411/$BC$11)*'DADOS BASE'!W$39,0)</f>
        <v>0</v>
      </c>
      <c r="BE411" s="187"/>
    </row>
    <row r="412" spans="2:57" x14ac:dyDescent="0.3">
      <c r="B412" s="223" t="s">
        <v>510</v>
      </c>
      <c r="C412" s="223" t="s">
        <v>525</v>
      </c>
      <c r="D412" s="223" t="s">
        <v>94</v>
      </c>
      <c r="E412" s="223">
        <v>2009</v>
      </c>
      <c r="F412" s="224"/>
      <c r="G412" s="225"/>
      <c r="H412" s="226">
        <f ca="1">IF(AND(E412&gt;=2018,SUMIF('DADOS BASE'!$C$101:$D$104,D412,'DADOS BASE'!$H$101:$H$104)&gt;J412),
SUMIF('DADOS BASE'!$C$101:$D$104,D412,'DADOS BASE'!$H$101:$H$104),
J412)</f>
        <v>11404083.668029431</v>
      </c>
      <c r="I412" s="225"/>
      <c r="J412" s="226">
        <f t="shared" si="276"/>
        <v>11404083.668029431</v>
      </c>
      <c r="K412" s="226"/>
      <c r="L412" s="227">
        <v>10441.069537279</v>
      </c>
      <c r="M412" s="226">
        <f t="shared" si="277"/>
        <v>8.1456385741994781E-3</v>
      </c>
      <c r="N412" s="226">
        <f>L412*'DADOS BASE'!$I$29</f>
        <v>10281698.417030321</v>
      </c>
      <c r="O412" s="228"/>
      <c r="P412" s="227">
        <v>33.568032786884999</v>
      </c>
      <c r="Q412" s="226">
        <f>P412*'DADOS BASE'!$I$33</f>
        <v>8263.9136808603671</v>
      </c>
      <c r="R412" s="226"/>
      <c r="S412" s="227">
        <v>1414.2384220099</v>
      </c>
      <c r="T412" s="226">
        <f>S412*'DADOS BASE'!$I$37</f>
        <v>1114121.3373182497</v>
      </c>
      <c r="U412" s="226"/>
      <c r="V412" s="226">
        <f t="shared" si="278"/>
        <v>1122385.2509991101</v>
      </c>
      <c r="W412" s="228"/>
      <c r="X412" s="226"/>
      <c r="Y412" s="226"/>
      <c r="Z412" s="224"/>
      <c r="AA412" s="226"/>
      <c r="AB412" s="226"/>
      <c r="AC412" s="226"/>
      <c r="AD412" s="226"/>
      <c r="AE412" s="227">
        <v>9777</v>
      </c>
      <c r="AF412" s="227">
        <v>5250.7876939927</v>
      </c>
      <c r="AG412" s="226" t="s">
        <v>155</v>
      </c>
      <c r="AH412" s="229">
        <v>0.76300000000000001</v>
      </c>
      <c r="AI412" s="225">
        <f t="shared" si="279"/>
        <v>4006.3510105164301</v>
      </c>
      <c r="AJ412" s="226">
        <f t="shared" si="280"/>
        <v>5.4859909146697611E-2</v>
      </c>
      <c r="AK412" s="226"/>
      <c r="AL412" s="226">
        <f t="shared" si="281"/>
        <v>169.81934470094794</v>
      </c>
      <c r="AM412" s="228">
        <f t="shared" si="282"/>
        <v>891685.32535764191</v>
      </c>
      <c r="AN412" s="226"/>
      <c r="AO412" s="227">
        <v>1.9988111413042999</v>
      </c>
      <c r="AP412" s="225"/>
      <c r="AQ412" s="226">
        <f t="shared" si="283"/>
        <v>10495.332943376123</v>
      </c>
      <c r="AR412" s="226">
        <f t="shared" si="284"/>
        <v>1.1166925534428974E-2</v>
      </c>
      <c r="AS412" s="228">
        <f>AR412*'DADOS BASE'!W$38</f>
        <v>3349795.8930861005</v>
      </c>
      <c r="AT412" s="225"/>
      <c r="AU412" s="227">
        <v>624.08554989298</v>
      </c>
      <c r="AV412" s="227">
        <v>312</v>
      </c>
      <c r="AW412" s="226">
        <f t="shared" si="285"/>
        <v>156.021387473245</v>
      </c>
      <c r="AX412" s="226">
        <f>IF($AW$11&gt;0,(AW412/$AW$11)*'DADOS BASE'!W$40,0)</f>
        <v>28033.357209636746</v>
      </c>
      <c r="AY412" s="226">
        <f t="shared" si="286"/>
        <v>311.85728756327723</v>
      </c>
      <c r="AZ412" s="226">
        <f t="shared" si="287"/>
        <v>1.6310234523607706E-2</v>
      </c>
      <c r="BA412" s="226">
        <f>AZ412*'DADOS BASE'!W$41</f>
        <v>120497.627615317</v>
      </c>
      <c r="BB412" s="225"/>
      <c r="BC412" s="227">
        <v>0</v>
      </c>
      <c r="BD412" s="226">
        <f>IF($BC$11&gt;0,(BC412/$BC$11)*'DADOS BASE'!W$39,0)</f>
        <v>0</v>
      </c>
      <c r="BE412" s="187"/>
    </row>
    <row r="413" spans="2:57" x14ac:dyDescent="0.3">
      <c r="B413" s="184" t="s">
        <v>510</v>
      </c>
      <c r="C413" s="184" t="s">
        <v>526</v>
      </c>
      <c r="D413" s="184" t="s">
        <v>94</v>
      </c>
      <c r="E413" s="184">
        <v>2009</v>
      </c>
      <c r="F413" s="185"/>
      <c r="H413" s="186">
        <f ca="1">IF(AND(E413&gt;=2018,SUMIF('DADOS BASE'!$C$101:$D$104,D413,'DADOS BASE'!$H$101:$H$104)&gt;J413),
SUMIF('DADOS BASE'!$C$101:$D$104,D413,'DADOS BASE'!$H$101:$H$104),
J413)</f>
        <v>1577034.8808206439</v>
      </c>
      <c r="J413" s="186">
        <f t="shared" si="276"/>
        <v>1577034.8808206439</v>
      </c>
      <c r="K413" s="186"/>
      <c r="L413" s="188">
        <v>1573.2665956860001</v>
      </c>
      <c r="M413" s="186">
        <f t="shared" si="277"/>
        <v>1.2273896868097195E-3</v>
      </c>
      <c r="N413" s="186">
        <f>L413*'DADOS BASE'!$I$29</f>
        <v>1549252.4600738313</v>
      </c>
      <c r="O413" s="187"/>
      <c r="P413" s="188">
        <v>0</v>
      </c>
      <c r="Q413" s="186">
        <f>P413*'DADOS BASE'!$I$33</f>
        <v>0</v>
      </c>
      <c r="R413" s="186"/>
      <c r="S413" s="188">
        <v>35.266326530611998</v>
      </c>
      <c r="T413" s="186">
        <f>S413*'DADOS BASE'!$I$37</f>
        <v>27782.420746812706</v>
      </c>
      <c r="U413" s="186"/>
      <c r="V413" s="186">
        <f t="shared" si="278"/>
        <v>27782.420746812706</v>
      </c>
      <c r="W413" s="187"/>
      <c r="X413" s="186"/>
      <c r="Y413" s="186"/>
      <c r="Z413" s="185"/>
      <c r="AA413" s="186"/>
      <c r="AB413" s="186"/>
      <c r="AC413" s="186"/>
      <c r="AD413" s="186"/>
      <c r="AE413" s="188">
        <v>1176</v>
      </c>
      <c r="AF413" s="188">
        <v>826.30487265780005</v>
      </c>
      <c r="AG413" s="186" t="s">
        <v>155</v>
      </c>
      <c r="AH413" s="189">
        <v>0.628</v>
      </c>
      <c r="AI413" s="183">
        <f t="shared" si="279"/>
        <v>518.91946002909845</v>
      </c>
      <c r="AJ413" s="186">
        <f t="shared" si="280"/>
        <v>-0.1272272893690754</v>
      </c>
      <c r="AK413" s="186"/>
      <c r="AL413" s="186">
        <f t="shared" si="281"/>
        <v>202.5361123310912</v>
      </c>
      <c r="AM413" s="187">
        <f t="shared" si="282"/>
        <v>167356.5765083482</v>
      </c>
      <c r="AN413" s="186"/>
      <c r="AO413" s="188">
        <v>2.2992874109264001</v>
      </c>
      <c r="AQ413" s="186">
        <f t="shared" si="283"/>
        <v>1899.9123912892219</v>
      </c>
      <c r="AR413" s="186">
        <f t="shared" si="284"/>
        <v>2.0214871038327286E-3</v>
      </c>
      <c r="AS413" s="187">
        <f>AR413*'DADOS BASE'!W$38</f>
        <v>606395.12437580316</v>
      </c>
      <c r="AU413" s="188">
        <v>35.266326530611998</v>
      </c>
      <c r="AV413" s="188">
        <v>80.75</v>
      </c>
      <c r="AW413" s="186">
        <f t="shared" si="285"/>
        <v>8.8165816326529995</v>
      </c>
      <c r="AX413" s="186">
        <f>IF($AW$11&gt;0,(AW413/$AW$11)*'DADOS BASE'!W$40,0)</f>
        <v>1584.1314212031814</v>
      </c>
      <c r="AY413" s="186">
        <f t="shared" si="286"/>
        <v>20.271855155363969</v>
      </c>
      <c r="AZ413" s="186">
        <f t="shared" si="287"/>
        <v>1.0602244199456271E-3</v>
      </c>
      <c r="BA413" s="186">
        <f>AZ413*'DADOS BASE'!W$41</f>
        <v>7832.7829779737149</v>
      </c>
      <c r="BC413" s="188">
        <v>0</v>
      </c>
      <c r="BD413" s="186">
        <f>IF($BC$11&gt;0,(BC413/$BC$11)*'DADOS BASE'!W$39,0)</f>
        <v>0</v>
      </c>
      <c r="BE413" s="187"/>
    </row>
    <row r="414" spans="2:57" x14ac:dyDescent="0.3">
      <c r="B414" s="223" t="s">
        <v>510</v>
      </c>
      <c r="C414" s="223" t="s">
        <v>527</v>
      </c>
      <c r="D414" s="223" t="s">
        <v>94</v>
      </c>
      <c r="E414" s="223">
        <v>2009</v>
      </c>
      <c r="F414" s="224"/>
      <c r="G414" s="225"/>
      <c r="H414" s="226">
        <f ca="1">IF(AND(E414&gt;=2018,SUMIF('DADOS BASE'!$C$101:$D$104,D414,'DADOS BASE'!$H$101:$H$104)&gt;J414),
SUMIF('DADOS BASE'!$C$101:$D$104,D414,'DADOS BASE'!$H$101:$H$104),
J414)</f>
        <v>3044470.3169621741</v>
      </c>
      <c r="I414" s="225"/>
      <c r="J414" s="226">
        <f t="shared" si="276"/>
        <v>3044470.3169621741</v>
      </c>
      <c r="K414" s="226"/>
      <c r="L414" s="227">
        <v>3071.7379076235002</v>
      </c>
      <c r="M414" s="226">
        <f t="shared" si="277"/>
        <v>2.3964275595361522E-3</v>
      </c>
      <c r="N414" s="226">
        <f>L414*'DADOS BASE'!$I$29</f>
        <v>3024851.3018308268</v>
      </c>
      <c r="O414" s="228"/>
      <c r="P414" s="227">
        <v>79.692476060192007</v>
      </c>
      <c r="Q414" s="226">
        <f>P414*'DADOS BASE'!$I$33</f>
        <v>19619.015131347271</v>
      </c>
      <c r="R414" s="226"/>
      <c r="S414" s="227">
        <v>0</v>
      </c>
      <c r="T414" s="226">
        <f>S414*'DADOS BASE'!$I$37</f>
        <v>0</v>
      </c>
      <c r="U414" s="226"/>
      <c r="V414" s="226">
        <f t="shared" si="278"/>
        <v>19619.015131347271</v>
      </c>
      <c r="W414" s="228"/>
      <c r="X414" s="226"/>
      <c r="Y414" s="226"/>
      <c r="Z414" s="224"/>
      <c r="AA414" s="226"/>
      <c r="AB414" s="226"/>
      <c r="AC414" s="226"/>
      <c r="AD414" s="226"/>
      <c r="AE414" s="227">
        <v>1990</v>
      </c>
      <c r="AF414" s="227">
        <v>1320.5798822564</v>
      </c>
      <c r="AG414" s="226" t="s">
        <v>155</v>
      </c>
      <c r="AH414" s="229">
        <v>0.70099999999999996</v>
      </c>
      <c r="AI414" s="225">
        <f t="shared" si="279"/>
        <v>925.72649746173636</v>
      </c>
      <c r="AJ414" s="226">
        <f t="shared" si="280"/>
        <v>-2.8765322764250069E-2</v>
      </c>
      <c r="AK414" s="226"/>
      <c r="AL414" s="226">
        <f t="shared" si="281"/>
        <v>184.84482316812486</v>
      </c>
      <c r="AM414" s="228">
        <f t="shared" si="282"/>
        <v>244102.3548150674</v>
      </c>
      <c r="AN414" s="226"/>
      <c r="AO414" s="227">
        <v>2.2012053778395999</v>
      </c>
      <c r="AP414" s="225"/>
      <c r="AQ414" s="226">
        <f t="shared" si="283"/>
        <v>2906.8675386895734</v>
      </c>
      <c r="AR414" s="226">
        <f t="shared" si="284"/>
        <v>3.0928769499858639E-3</v>
      </c>
      <c r="AS414" s="228">
        <f>AR414*'DADOS BASE'!W$38</f>
        <v>927785.04458909691</v>
      </c>
      <c r="AT414" s="225"/>
      <c r="AU414" s="227">
        <v>0</v>
      </c>
      <c r="AV414" s="227">
        <v>87</v>
      </c>
      <c r="AW414" s="226">
        <f t="shared" si="285"/>
        <v>0</v>
      </c>
      <c r="AX414" s="226">
        <f>IF($AW$11&gt;0,(AW414/$AW$11)*'DADOS BASE'!W$40,0)</f>
        <v>0</v>
      </c>
      <c r="AY414" s="226">
        <f t="shared" si="286"/>
        <v>0</v>
      </c>
      <c r="AZ414" s="226">
        <f t="shared" si="287"/>
        <v>0</v>
      </c>
      <c r="BA414" s="226">
        <f>AZ414*'DADOS BASE'!W$41</f>
        <v>0</v>
      </c>
      <c r="BB414" s="225"/>
      <c r="BC414" s="227">
        <v>0</v>
      </c>
      <c r="BD414" s="226">
        <f>IF($BC$11&gt;0,(BC414/$BC$11)*'DADOS BASE'!W$39,0)</f>
        <v>0</v>
      </c>
      <c r="BE414" s="187"/>
    </row>
    <row r="415" spans="2:57" x14ac:dyDescent="0.3">
      <c r="B415" s="184" t="s">
        <v>510</v>
      </c>
      <c r="C415" s="184" t="s">
        <v>528</v>
      </c>
      <c r="D415" s="184" t="s">
        <v>94</v>
      </c>
      <c r="E415" s="184">
        <v>2009</v>
      </c>
      <c r="F415" s="185"/>
      <c r="H415" s="186">
        <f ca="1">IF(AND(E415&gt;=2018,SUMIF('DADOS BASE'!$C$101:$D$104,D415,'DADOS BASE'!$H$101:$H$104)&gt;J415),
SUMIF('DADOS BASE'!$C$101:$D$104,D415,'DADOS BASE'!$H$101:$H$104),
J415)</f>
        <v>2425527.3619980472</v>
      </c>
      <c r="J415" s="186">
        <f t="shared" si="276"/>
        <v>2425527.3619980472</v>
      </c>
      <c r="K415" s="186"/>
      <c r="L415" s="188">
        <v>2140.8450501068</v>
      </c>
      <c r="M415" s="186">
        <f t="shared" si="277"/>
        <v>1.6701880932093233E-3</v>
      </c>
      <c r="N415" s="186">
        <f>L415*'DADOS BASE'!$I$29</f>
        <v>2108167.4711771538</v>
      </c>
      <c r="O415" s="187"/>
      <c r="P415" s="188">
        <v>0</v>
      </c>
      <c r="Q415" s="186">
        <f>P415*'DADOS BASE'!$I$33</f>
        <v>0</v>
      </c>
      <c r="R415" s="186"/>
      <c r="S415" s="188">
        <v>402.84889640846001</v>
      </c>
      <c r="T415" s="186">
        <f>S415*'DADOS BASE'!$I$37</f>
        <v>317359.89082089346</v>
      </c>
      <c r="U415" s="186"/>
      <c r="V415" s="186">
        <f t="shared" si="278"/>
        <v>317359.89082089346</v>
      </c>
      <c r="W415" s="187"/>
      <c r="X415" s="186"/>
      <c r="Y415" s="186"/>
      <c r="Z415" s="185"/>
      <c r="AA415" s="186"/>
      <c r="AB415" s="186"/>
      <c r="AC415" s="186"/>
      <c r="AD415" s="186"/>
      <c r="AE415" s="188">
        <v>1245</v>
      </c>
      <c r="AF415" s="188">
        <v>881.96135299138996</v>
      </c>
      <c r="AG415" s="186" t="s">
        <v>155</v>
      </c>
      <c r="AH415" s="189">
        <v>0.60799999999999998</v>
      </c>
      <c r="AI415" s="183">
        <f t="shared" si="279"/>
        <v>536.23250261876512</v>
      </c>
      <c r="AJ415" s="186">
        <f t="shared" si="280"/>
        <v>-0.15420317063067143</v>
      </c>
      <c r="AK415" s="186"/>
      <c r="AL415" s="186">
        <f t="shared" si="281"/>
        <v>207.38304086889022</v>
      </c>
      <c r="AM415" s="187">
        <f t="shared" si="282"/>
        <v>182903.82731219515</v>
      </c>
      <c r="AN415" s="186"/>
      <c r="AO415" s="188">
        <v>2.1827411167512998</v>
      </c>
      <c r="AQ415" s="186">
        <f t="shared" si="283"/>
        <v>1925.0933085599138</v>
      </c>
      <c r="AR415" s="186">
        <f t="shared" si="284"/>
        <v>2.0482793389688136E-3</v>
      </c>
      <c r="AS415" s="187">
        <f>AR415*'DADOS BASE'!W$38</f>
        <v>614432.11888684821</v>
      </c>
      <c r="AU415" s="188">
        <v>165.66580856338001</v>
      </c>
      <c r="AV415" s="188">
        <v>74.75</v>
      </c>
      <c r="AW415" s="186">
        <f t="shared" si="285"/>
        <v>41.416452140845003</v>
      </c>
      <c r="AX415" s="186">
        <f>IF($AW$11&gt;0,(AW415/$AW$11)*'DADOS BASE'!W$40,0)</f>
        <v>7441.557955759311</v>
      </c>
      <c r="AY415" s="186">
        <f t="shared" si="286"/>
        <v>90.401392997784782</v>
      </c>
      <c r="AZ415" s="186">
        <f t="shared" si="287"/>
        <v>4.7280213734159447E-3</v>
      </c>
      <c r="BA415" s="186">
        <f>AZ415*'DADOS BASE'!W$41</f>
        <v>34929.930528375829</v>
      </c>
      <c r="BC415" s="188">
        <v>0</v>
      </c>
      <c r="BD415" s="186">
        <f>IF($BC$11&gt;0,(BC415/$BC$11)*'DADOS BASE'!W$39,0)</f>
        <v>0</v>
      </c>
      <c r="BE415" s="187"/>
    </row>
    <row r="416" spans="2:57" x14ac:dyDescent="0.3">
      <c r="B416" s="223" t="s">
        <v>510</v>
      </c>
      <c r="C416" s="223" t="s">
        <v>529</v>
      </c>
      <c r="D416" s="223" t="s">
        <v>94</v>
      </c>
      <c r="E416" s="223">
        <v>2009</v>
      </c>
      <c r="F416" s="224"/>
      <c r="G416" s="225"/>
      <c r="H416" s="226">
        <f ca="1">IF(AND(E416&gt;=2018,SUMIF('DADOS BASE'!$C$101:$D$104,D416,'DADOS BASE'!$H$101:$H$104)&gt;J416),
SUMIF('DADOS BASE'!$C$101:$D$104,D416,'DADOS BASE'!$H$101:$H$104),
J416)</f>
        <v>1391641.9123140411</v>
      </c>
      <c r="I416" s="225"/>
      <c r="J416" s="226">
        <f t="shared" si="276"/>
        <v>1391641.9123140411</v>
      </c>
      <c r="K416" s="226"/>
      <c r="L416" s="227">
        <v>1412.8727124280999</v>
      </c>
      <c r="M416" s="226">
        <f t="shared" si="277"/>
        <v>1.1022578123531413E-3</v>
      </c>
      <c r="N416" s="226">
        <f>L416*'DADOS BASE'!$I$29</f>
        <v>1391306.8080785023</v>
      </c>
      <c r="O416" s="228"/>
      <c r="P416" s="227">
        <v>0</v>
      </c>
      <c r="Q416" s="226">
        <f>P416*'DADOS BASE'!$I$33</f>
        <v>0</v>
      </c>
      <c r="R416" s="226"/>
      <c r="S416" s="227">
        <v>0.42537313432835999</v>
      </c>
      <c r="T416" s="226">
        <f>S416*'DADOS BASE'!$I$37</f>
        <v>335.1042355387587</v>
      </c>
      <c r="U416" s="226"/>
      <c r="V416" s="226">
        <f t="shared" si="278"/>
        <v>335.1042355387587</v>
      </c>
      <c r="W416" s="228"/>
      <c r="X416" s="226"/>
      <c r="Y416" s="226"/>
      <c r="Z416" s="224"/>
      <c r="AA416" s="226"/>
      <c r="AB416" s="226"/>
      <c r="AC416" s="226"/>
      <c r="AD416" s="226"/>
      <c r="AE416" s="227">
        <v>1010</v>
      </c>
      <c r="AF416" s="227">
        <v>710.63792123768997</v>
      </c>
      <c r="AG416" s="226" t="s">
        <v>155</v>
      </c>
      <c r="AH416" s="229">
        <v>0.60599999999999998</v>
      </c>
      <c r="AI416" s="225">
        <f t="shared" si="279"/>
        <v>430.64658027004009</v>
      </c>
      <c r="AJ416" s="226">
        <f t="shared" si="280"/>
        <v>-0.15690075875683104</v>
      </c>
      <c r="AK416" s="226"/>
      <c r="AL416" s="226">
        <f t="shared" si="281"/>
        <v>207.86773372267012</v>
      </c>
      <c r="AM416" s="228">
        <f t="shared" si="282"/>
        <v>147718.69418506796</v>
      </c>
      <c r="AN416" s="226"/>
      <c r="AO416" s="227">
        <v>2.3114754098360999</v>
      </c>
      <c r="AP416" s="225"/>
      <c r="AQ416" s="226">
        <f t="shared" si="283"/>
        <v>1642.6220802379635</v>
      </c>
      <c r="AR416" s="226">
        <f t="shared" si="284"/>
        <v>1.7477328780506121E-3</v>
      </c>
      <c r="AS416" s="228">
        <f>AR416*'DADOS BASE'!W$38</f>
        <v>524275.76409059181</v>
      </c>
      <c r="AT416" s="225"/>
      <c r="AU416" s="227">
        <v>0.42537313432835999</v>
      </c>
      <c r="AV416" s="227">
        <v>15</v>
      </c>
      <c r="AW416" s="226">
        <f t="shared" si="285"/>
        <v>0.10634328358209</v>
      </c>
      <c r="AX416" s="226">
        <f>IF($AW$11&gt;0,(AW416/$AW$11)*'DADOS BASE'!W$40,0)</f>
        <v>19.107375621907256</v>
      </c>
      <c r="AY416" s="226">
        <f t="shared" si="286"/>
        <v>0.24580988500122808</v>
      </c>
      <c r="AZ416" s="226">
        <f t="shared" si="287"/>
        <v>1.2855934533123848E-5</v>
      </c>
      <c r="BA416" s="226">
        <f>AZ416*'DADOS BASE'!W$41</f>
        <v>94.977764407804472</v>
      </c>
      <c r="BB416" s="225"/>
      <c r="BC416" s="227">
        <v>0</v>
      </c>
      <c r="BD416" s="226">
        <f>IF($BC$11&gt;0,(BC416/$BC$11)*'DADOS BASE'!W$39,0)</f>
        <v>0</v>
      </c>
      <c r="BE416" s="187"/>
    </row>
    <row r="417" spans="2:57" x14ac:dyDescent="0.3">
      <c r="B417" s="184" t="s">
        <v>510</v>
      </c>
      <c r="C417" s="184" t="s">
        <v>410</v>
      </c>
      <c r="D417" s="184" t="s">
        <v>94</v>
      </c>
      <c r="E417" s="184">
        <v>2017</v>
      </c>
      <c r="F417" s="185"/>
      <c r="H417" s="186">
        <f ca="1">IF(AND(E417&gt;=2018,SUMIF('DADOS BASE'!$C$101:$D$104,D417,'DADOS BASE'!$H$101:$H$104)&gt;J417),
SUMIF('DADOS BASE'!$C$101:$D$104,D417,'DADOS BASE'!$H$101:$H$104),
J417)</f>
        <v>438156.11183370202</v>
      </c>
      <c r="J417" s="186">
        <f t="shared" si="276"/>
        <v>438156.11183370202</v>
      </c>
      <c r="K417" s="186"/>
      <c r="L417" s="188">
        <v>444.94773589759001</v>
      </c>
      <c r="M417" s="186">
        <f t="shared" si="277"/>
        <v>3.4712760298066792E-4</v>
      </c>
      <c r="N417" s="186">
        <f>L417*'DADOS BASE'!$I$29</f>
        <v>438156.11183370202</v>
      </c>
      <c r="O417" s="187"/>
      <c r="P417" s="188">
        <v>0</v>
      </c>
      <c r="Q417" s="186">
        <f>P417*'DADOS BASE'!$I$33</f>
        <v>0</v>
      </c>
      <c r="R417" s="186"/>
      <c r="S417" s="188">
        <v>0</v>
      </c>
      <c r="T417" s="186">
        <f>S417*'DADOS BASE'!$I$37</f>
        <v>0</v>
      </c>
      <c r="U417" s="186"/>
      <c r="V417" s="186">
        <f t="shared" si="278"/>
        <v>0</v>
      </c>
      <c r="W417" s="187"/>
      <c r="X417" s="186"/>
      <c r="Y417" s="186"/>
      <c r="Z417" s="185"/>
      <c r="AA417" s="186"/>
      <c r="AB417" s="186"/>
      <c r="AC417" s="186"/>
      <c r="AD417" s="186"/>
      <c r="AE417" s="188">
        <v>382</v>
      </c>
      <c r="AF417" s="188">
        <v>248.47098990692001</v>
      </c>
      <c r="AG417" s="186" t="s">
        <v>155</v>
      </c>
      <c r="AH417" s="189">
        <v>0.68200000000000005</v>
      </c>
      <c r="AI417" s="183">
        <f t="shared" si="279"/>
        <v>169.45721511651945</v>
      </c>
      <c r="AJ417" s="186">
        <f t="shared" si="280"/>
        <v>-5.439240996276614E-2</v>
      </c>
      <c r="AK417" s="186"/>
      <c r="AL417" s="186">
        <f t="shared" si="281"/>
        <v>189.4494052790339</v>
      </c>
      <c r="AM417" s="187">
        <f t="shared" si="282"/>
        <v>47072.681266958833</v>
      </c>
      <c r="AN417" s="186"/>
      <c r="AO417" s="188">
        <v>2.3123393316195</v>
      </c>
      <c r="AQ417" s="186">
        <f t="shared" si="283"/>
        <v>574.5492427282029</v>
      </c>
      <c r="AR417" s="186">
        <f t="shared" si="284"/>
        <v>6.1131444271690985E-4</v>
      </c>
      <c r="AS417" s="187">
        <f>AR417*'DADOS BASE'!W$38</f>
        <v>183378.90794415842</v>
      </c>
      <c r="AU417" s="188">
        <v>0</v>
      </c>
      <c r="AV417" s="188">
        <v>0</v>
      </c>
      <c r="AW417" s="186">
        <f t="shared" si="285"/>
        <v>0</v>
      </c>
      <c r="AX417" s="186">
        <f>IF($AW$11&gt;0,(AW417/$AW$11)*'DADOS BASE'!W$40,0)</f>
        <v>0</v>
      </c>
      <c r="AY417" s="186">
        <f t="shared" si="286"/>
        <v>0</v>
      </c>
      <c r="AZ417" s="186">
        <f t="shared" si="287"/>
        <v>0</v>
      </c>
      <c r="BA417" s="186">
        <f>AZ417*'DADOS BASE'!W$41</f>
        <v>0</v>
      </c>
      <c r="BC417" s="188">
        <v>0</v>
      </c>
      <c r="BD417" s="186">
        <f>IF($BC$11&gt;0,(BC417/$BC$11)*'DADOS BASE'!W$39,0)</f>
        <v>0</v>
      </c>
      <c r="BE417" s="187"/>
    </row>
    <row r="418" spans="2:57" x14ac:dyDescent="0.3">
      <c r="B418" s="223" t="s">
        <v>510</v>
      </c>
      <c r="C418" s="223" t="s">
        <v>530</v>
      </c>
      <c r="D418" s="223" t="s">
        <v>94</v>
      </c>
      <c r="E418" s="223">
        <v>2016</v>
      </c>
      <c r="F418" s="224"/>
      <c r="G418" s="225"/>
      <c r="H418" s="226">
        <f ca="1">IF(AND(E418&gt;=2018,SUMIF('DADOS BASE'!$C$101:$D$104,D418,'DADOS BASE'!$H$101:$H$104)&gt;J418),
SUMIF('DADOS BASE'!$C$101:$D$104,D418,'DADOS BASE'!$H$101:$H$104),
J418)</f>
        <v>609725.83769334992</v>
      </c>
      <c r="I418" s="225"/>
      <c r="J418" s="226">
        <f t="shared" si="276"/>
        <v>609725.83769334992</v>
      </c>
      <c r="K418" s="226"/>
      <c r="L418" s="227">
        <v>619.17687251817995</v>
      </c>
      <c r="M418" s="226">
        <f t="shared" si="277"/>
        <v>4.8305310093267194E-4</v>
      </c>
      <c r="N418" s="226">
        <f>L418*'DADOS BASE'!$I$29</f>
        <v>609725.83769334992</v>
      </c>
      <c r="O418" s="228"/>
      <c r="P418" s="227">
        <v>0</v>
      </c>
      <c r="Q418" s="226">
        <f>P418*'DADOS BASE'!$I$33</f>
        <v>0</v>
      </c>
      <c r="R418" s="226"/>
      <c r="S418" s="227">
        <v>0</v>
      </c>
      <c r="T418" s="226">
        <f>S418*'DADOS BASE'!$I$37</f>
        <v>0</v>
      </c>
      <c r="U418" s="226"/>
      <c r="V418" s="226">
        <f t="shared" si="278"/>
        <v>0</v>
      </c>
      <c r="W418" s="228"/>
      <c r="X418" s="226"/>
      <c r="Y418" s="226"/>
      <c r="Z418" s="224"/>
      <c r="AA418" s="226"/>
      <c r="AB418" s="226"/>
      <c r="AC418" s="226"/>
      <c r="AD418" s="226"/>
      <c r="AE418" s="227">
        <v>389</v>
      </c>
      <c r="AF418" s="227">
        <v>412.78458167879</v>
      </c>
      <c r="AG418" s="226" t="s">
        <v>155</v>
      </c>
      <c r="AH418" s="229">
        <v>0.627</v>
      </c>
      <c r="AI418" s="225">
        <f t="shared" si="279"/>
        <v>258.81593271260135</v>
      </c>
      <c r="AJ418" s="226">
        <f t="shared" si="280"/>
        <v>-0.12857608343215521</v>
      </c>
      <c r="AK418" s="226"/>
      <c r="AL418" s="226">
        <f t="shared" si="281"/>
        <v>202.77845875798116</v>
      </c>
      <c r="AM418" s="228">
        <f t="shared" si="282"/>
        <v>83703.821271883018</v>
      </c>
      <c r="AN418" s="226"/>
      <c r="AO418" s="227">
        <v>2.3259668508287001</v>
      </c>
      <c r="AP418" s="225"/>
      <c r="AQ418" s="226">
        <f t="shared" si="283"/>
        <v>960.1232535180576</v>
      </c>
      <c r="AR418" s="226">
        <f t="shared" si="284"/>
        <v>1.0215611961768699E-3</v>
      </c>
      <c r="AS418" s="228">
        <f>AR418*'DADOS BASE'!W$38</f>
        <v>306442.58251198143</v>
      </c>
      <c r="AT418" s="225"/>
      <c r="AU418" s="227">
        <v>0</v>
      </c>
      <c r="AV418" s="227">
        <v>0</v>
      </c>
      <c r="AW418" s="226">
        <f t="shared" si="285"/>
        <v>0</v>
      </c>
      <c r="AX418" s="226">
        <f>IF($AW$11&gt;0,(AW418/$AW$11)*'DADOS BASE'!W$40,0)</f>
        <v>0</v>
      </c>
      <c r="AY418" s="226">
        <f t="shared" si="286"/>
        <v>0</v>
      </c>
      <c r="AZ418" s="226">
        <f t="shared" si="287"/>
        <v>0</v>
      </c>
      <c r="BA418" s="226">
        <f>AZ418*'DADOS BASE'!W$41</f>
        <v>0</v>
      </c>
      <c r="BB418" s="225"/>
      <c r="BC418" s="227">
        <v>0</v>
      </c>
      <c r="BD418" s="226">
        <f>IF($BC$11&gt;0,(BC418/$BC$11)*'DADOS BASE'!W$39,0)</f>
        <v>0</v>
      </c>
      <c r="BE418" s="187"/>
    </row>
    <row r="419" spans="2:57" x14ac:dyDescent="0.3">
      <c r="B419" s="184" t="s">
        <v>510</v>
      </c>
      <c r="C419" s="184" t="s">
        <v>531</v>
      </c>
      <c r="D419" s="184" t="s">
        <v>92</v>
      </c>
      <c r="E419" s="184">
        <v>2009</v>
      </c>
      <c r="F419" s="185"/>
      <c r="H419" s="186">
        <f ca="1">IF(AND(E419&gt;=2018,SUMIF('DADOS BASE'!$C$101:$D$104,D419,'DADOS BASE'!$H$101:$H$104)&gt;J419),
SUMIF('DADOS BASE'!$C$101:$D$104,D419,'DADOS BASE'!$H$101:$H$104),
J419)</f>
        <v>4370765.6986483373</v>
      </c>
      <c r="J419" s="186">
        <f t="shared" si="276"/>
        <v>4370765.6986483373</v>
      </c>
      <c r="K419" s="186"/>
      <c r="L419" s="188">
        <v>4198.8334667386998</v>
      </c>
      <c r="M419" s="186">
        <f t="shared" si="277"/>
        <v>3.2757352808723606E-3</v>
      </c>
      <c r="N419" s="186">
        <f>L419*'DADOS BASE'!$I$29</f>
        <v>4134743.0216992754</v>
      </c>
      <c r="O419" s="187"/>
      <c r="P419" s="188">
        <v>955.40652124907001</v>
      </c>
      <c r="Q419" s="186">
        <f>P419*'DADOS BASE'!$I$33</f>
        <v>235205.83025699752</v>
      </c>
      <c r="R419" s="186"/>
      <c r="S419" s="188">
        <v>1.0368852459016</v>
      </c>
      <c r="T419" s="186">
        <f>S419*'DADOS BASE'!$I$37</f>
        <v>816.84669206460444</v>
      </c>
      <c r="U419" s="186"/>
      <c r="V419" s="186">
        <f t="shared" si="278"/>
        <v>236022.67694906212</v>
      </c>
      <c r="W419" s="187"/>
      <c r="X419" s="186"/>
      <c r="Y419" s="186"/>
      <c r="Z419" s="185"/>
      <c r="AA419" s="186"/>
      <c r="AB419" s="186"/>
      <c r="AC419" s="186"/>
      <c r="AD419" s="186"/>
      <c r="AE419" s="188">
        <v>1757</v>
      </c>
      <c r="AF419" s="188">
        <v>1456.4968284152001</v>
      </c>
      <c r="AG419" s="186" t="s">
        <v>155</v>
      </c>
      <c r="AH419" s="189">
        <v>0.66800000000000004</v>
      </c>
      <c r="AI419" s="183">
        <f t="shared" si="279"/>
        <v>972.93988138135376</v>
      </c>
      <c r="AJ419" s="186">
        <f t="shared" si="280"/>
        <v>-7.3275526845883357E-2</v>
      </c>
      <c r="AK419" s="186"/>
      <c r="AL419" s="186">
        <f t="shared" si="281"/>
        <v>192.8422552554932</v>
      </c>
      <c r="AM419" s="187">
        <f t="shared" si="282"/>
        <v>280874.1331640603</v>
      </c>
      <c r="AN419" s="186"/>
      <c r="AO419" s="188">
        <v>2.2891440501044</v>
      </c>
      <c r="AQ419" s="186">
        <f t="shared" si="283"/>
        <v>3334.1310487625847</v>
      </c>
      <c r="AR419" s="186">
        <f t="shared" si="284"/>
        <v>3.5474808988367958E-3</v>
      </c>
      <c r="AS419" s="187">
        <f>AR419*'DADOS BASE'!W$38</f>
        <v>1064154.7585400413</v>
      </c>
      <c r="AU419" s="188">
        <v>1.0368852459016</v>
      </c>
      <c r="AV419" s="188">
        <v>120</v>
      </c>
      <c r="AW419" s="186">
        <f t="shared" si="285"/>
        <v>0.25922131147540001</v>
      </c>
      <c r="AX419" s="186">
        <f>IF($AW$11&gt;0,(AW419/$AW$11)*'DADOS BASE'!W$40,0)</f>
        <v>46.575945379197037</v>
      </c>
      <c r="AY419" s="186">
        <f t="shared" si="286"/>
        <v>0.59339492282417139</v>
      </c>
      <c r="AZ419" s="186">
        <f t="shared" si="287"/>
        <v>3.1034741666623828E-5</v>
      </c>
      <c r="BA419" s="186">
        <f>AZ419*'DADOS BASE'!W$41</f>
        <v>229.28013322368989</v>
      </c>
      <c r="BC419" s="188">
        <v>75.5</v>
      </c>
      <c r="BD419" s="186">
        <f>IF($BC$11&gt;0,(BC419/$BC$11)*'DADOS BASE'!W$39,0)</f>
        <v>407941.90294480615</v>
      </c>
      <c r="BE419" s="187"/>
    </row>
    <row r="420" spans="2:57" x14ac:dyDescent="0.3">
      <c r="F420" s="185"/>
      <c r="H420" s="186"/>
      <c r="J420" s="186"/>
      <c r="K420" s="186"/>
      <c r="L420" s="186"/>
      <c r="M420" s="186"/>
      <c r="N420" s="186"/>
      <c r="O420" s="187"/>
      <c r="P420" s="186"/>
      <c r="Q420" s="186"/>
      <c r="R420" s="186"/>
      <c r="S420" s="186"/>
      <c r="T420" s="186"/>
      <c r="U420" s="186"/>
      <c r="V420" s="186"/>
      <c r="W420" s="187"/>
      <c r="X420" s="186"/>
      <c r="Y420" s="186"/>
      <c r="Z420" s="185"/>
      <c r="AA420" s="186"/>
      <c r="AB420" s="186"/>
      <c r="AC420" s="186"/>
      <c r="AD420" s="186"/>
      <c r="AE420" s="186"/>
      <c r="AF420" s="186"/>
      <c r="AG420" s="186"/>
      <c r="AH420" s="185"/>
      <c r="AJ420" s="186"/>
      <c r="AK420" s="186"/>
      <c r="AL420" s="186"/>
      <c r="AM420" s="187"/>
      <c r="AN420" s="186"/>
      <c r="AO420" s="186"/>
      <c r="AQ420" s="186"/>
      <c r="AR420" s="186"/>
      <c r="AS420" s="187"/>
      <c r="AU420" s="186"/>
      <c r="AV420" s="186"/>
      <c r="AW420" s="186"/>
      <c r="AX420" s="186"/>
      <c r="AY420" s="186"/>
      <c r="AZ420" s="186"/>
      <c r="BA420" s="186"/>
      <c r="BC420" s="186"/>
      <c r="BD420" s="186"/>
      <c r="BE420" s="187"/>
    </row>
    <row r="421" spans="2:57" x14ac:dyDescent="0.3">
      <c r="B421" s="209" t="s">
        <v>532</v>
      </c>
      <c r="C421" s="209" t="s">
        <v>533</v>
      </c>
      <c r="D421" s="211" t="s">
        <v>154</v>
      </c>
      <c r="E421" s="211"/>
      <c r="F421" s="210"/>
      <c r="G421" s="211"/>
      <c r="H421" s="212">
        <f ca="1">SUM(H422:H438)</f>
        <v>33360381.092073508</v>
      </c>
      <c r="I421" s="211"/>
      <c r="J421" s="212">
        <f>SUM(J422:J438)</f>
        <v>33360381.092073508</v>
      </c>
      <c r="K421" s="212"/>
      <c r="L421" s="212">
        <f>SUM(L422:L438)</f>
        <v>33516.364778629999</v>
      </c>
      <c r="M421" s="212">
        <f>SUM(M422:M438)</f>
        <v>2.6147914524750664E-2</v>
      </c>
      <c r="N421" s="212">
        <f>SUM(N422:N438)</f>
        <v>33004775.36890889</v>
      </c>
      <c r="O421" s="214"/>
      <c r="P421" s="212">
        <f>SUM(P422:P438)</f>
        <v>908.72815056467005</v>
      </c>
      <c r="Q421" s="212">
        <f>SUM(Q422:Q438)</f>
        <v>223714.36072263165</v>
      </c>
      <c r="R421" s="212"/>
      <c r="S421" s="212">
        <f>SUM(S422:S438)</f>
        <v>167.4196750828464</v>
      </c>
      <c r="T421" s="212">
        <f>SUM(T422:T438)</f>
        <v>131891.3624419843</v>
      </c>
      <c r="U421" s="212"/>
      <c r="V421" s="212">
        <f>SUM(V422:V438)</f>
        <v>355605.72316461598</v>
      </c>
      <c r="W421" s="214"/>
      <c r="X421" s="212">
        <f>SUMIF(INDICADORES!$D$13:$D$53,C421,INDICADORES!$L$13:$L$53)</f>
        <v>6.1809017494159424E-3</v>
      </c>
      <c r="Y421" s="212">
        <f>X421*'DADOS BASE'!$I$79</f>
        <v>256650.92171019668</v>
      </c>
      <c r="Z421" s="210">
        <f>SUMIF(INDICADORES!$D$13:$D$53,C421,INDICADORES!$R$13:$R$53)</f>
        <v>2.4322310734139485E-2</v>
      </c>
      <c r="AA421" s="212">
        <f>Z421*'DADOS BASE'!$I$84</f>
        <v>1009940.575196584</v>
      </c>
      <c r="AB421" s="212">
        <f>SUMIF(INDICADORES!$D$13:$D$53,C421,INDICADORES!$Z$13:$Z$53)</f>
        <v>3.3937009212892971E-2</v>
      </c>
      <c r="AC421" s="212">
        <f>AB421*'DADOS BASE'!$I$89</f>
        <v>2818347.5640587416</v>
      </c>
      <c r="AD421" s="212"/>
      <c r="AE421" s="212">
        <f>SUM(AE422:AE438)</f>
        <v>24380</v>
      </c>
      <c r="AF421" s="212">
        <f>SUM(AF422:AF438)</f>
        <v>14129.01187246193</v>
      </c>
      <c r="AG421" s="212" t="s">
        <v>155</v>
      </c>
      <c r="AH421" s="210"/>
      <c r="AI421" s="211"/>
      <c r="AJ421" s="212"/>
      <c r="AK421" s="212"/>
      <c r="AL421" s="212"/>
      <c r="AM421" s="214">
        <f>SUM(AM422:AM438)</f>
        <v>2657923.5766420513</v>
      </c>
      <c r="AN421" s="212"/>
      <c r="AO421" s="212"/>
      <c r="AP421" s="211"/>
      <c r="AQ421" s="212">
        <f>SUM(AQ422:AQ438)</f>
        <v>25356.423460908652</v>
      </c>
      <c r="AR421" s="212"/>
      <c r="AS421" s="214">
        <f>SUM(AS422:AS438)</f>
        <v>8093010.8297622865</v>
      </c>
      <c r="AT421" s="211"/>
      <c r="AU421" s="212">
        <f t="shared" ref="AU421:BA421" si="288">SUM(AU422:AU438)</f>
        <v>133.3503519387414</v>
      </c>
      <c r="AV421" s="212">
        <f t="shared" si="288"/>
        <v>780.5</v>
      </c>
      <c r="AW421" s="212">
        <f t="shared" si="288"/>
        <v>33.337587984685349</v>
      </c>
      <c r="AX421" s="212">
        <f t="shared" si="288"/>
        <v>5989.9769359674492</v>
      </c>
      <c r="AY421" s="212">
        <f t="shared" si="288"/>
        <v>58.824597642499704</v>
      </c>
      <c r="AZ421" s="212">
        <f t="shared" si="288"/>
        <v>3.0765450145568774E-3</v>
      </c>
      <c r="BA421" s="212">
        <f t="shared" si="288"/>
        <v>22729.064684462603</v>
      </c>
      <c r="BB421" s="211"/>
      <c r="BC421" s="212">
        <f>SUM(BC422:BC438)</f>
        <v>318.5</v>
      </c>
      <c r="BD421" s="212">
        <f>SUM(BD422:BD438)</f>
        <v>1720920.4779857052</v>
      </c>
      <c r="BE421" s="187"/>
    </row>
    <row r="422" spans="2:57" x14ac:dyDescent="0.3">
      <c r="B422" s="216" t="s">
        <v>532</v>
      </c>
      <c r="C422" s="218" t="s">
        <v>156</v>
      </c>
      <c r="D422" s="218" t="s">
        <v>157</v>
      </c>
      <c r="E422" s="218"/>
      <c r="F422" s="217"/>
      <c r="G422" s="218"/>
      <c r="H422" s="219"/>
      <c r="I422" s="218"/>
      <c r="J422" s="219"/>
      <c r="K422" s="219"/>
      <c r="L422" s="219">
        <v>0</v>
      </c>
      <c r="M422" s="219">
        <v>0</v>
      </c>
      <c r="N422" s="219">
        <v>0</v>
      </c>
      <c r="O422" s="221"/>
      <c r="P422" s="219"/>
      <c r="Q422" s="219"/>
      <c r="R422" s="219"/>
      <c r="S422" s="219"/>
      <c r="T422" s="219"/>
      <c r="U422" s="219"/>
      <c r="V422" s="219"/>
      <c r="W422" s="221"/>
      <c r="X422" s="219"/>
      <c r="Y422" s="219"/>
      <c r="Z422" s="217"/>
      <c r="AA422" s="219"/>
      <c r="AB422" s="219"/>
      <c r="AC422" s="219"/>
      <c r="AD422" s="219"/>
      <c r="AE422" s="219"/>
      <c r="AF422" s="219"/>
      <c r="AG422" s="219" t="s">
        <v>155</v>
      </c>
      <c r="AH422" s="217"/>
      <c r="AI422" s="218"/>
      <c r="AJ422" s="219"/>
      <c r="AK422" s="219"/>
      <c r="AL422" s="219"/>
      <c r="AM422" s="221"/>
      <c r="AN422" s="219"/>
      <c r="AO422" s="219"/>
      <c r="AP422" s="218"/>
      <c r="AQ422" s="219"/>
      <c r="AR422" s="219"/>
      <c r="AS422" s="221"/>
      <c r="AT422" s="218"/>
      <c r="AU422" s="219"/>
      <c r="AV422" s="219"/>
      <c r="AW422" s="219"/>
      <c r="AX422" s="219"/>
      <c r="AY422" s="219"/>
      <c r="AZ422" s="219"/>
      <c r="BA422" s="219"/>
      <c r="BB422" s="218"/>
      <c r="BC422" s="219"/>
      <c r="BD422" s="219"/>
      <c r="BE422" s="187"/>
    </row>
    <row r="423" spans="2:57" x14ac:dyDescent="0.3">
      <c r="B423" s="184" t="s">
        <v>532</v>
      </c>
      <c r="C423" s="184" t="s">
        <v>534</v>
      </c>
      <c r="D423" s="184" t="s">
        <v>94</v>
      </c>
      <c r="E423" s="184">
        <v>2018</v>
      </c>
      <c r="F423" s="185"/>
      <c r="H423" s="186">
        <f ca="1">IF(AND(E423&gt;=2018,SUMIF('DADOS BASE'!$C$101:$D$104,D423,'DADOS BASE'!$H$101:$H$104)&gt;J423),
SUMIF('DADOS BASE'!$C$101:$D$104,D423,'DADOS BASE'!$H$101:$H$104),
J423)</f>
        <v>703125.57478311507</v>
      </c>
      <c r="J423" s="186">
        <f t="shared" ref="J423:J438" si="289">N423+Q423+T423</f>
        <v>703125.57478311507</v>
      </c>
      <c r="K423" s="186"/>
      <c r="L423" s="188">
        <v>693.54977460627003</v>
      </c>
      <c r="M423" s="186">
        <f t="shared" ref="M423:M438" si="290">L423/$L$11</f>
        <v>5.4107539241927635E-4</v>
      </c>
      <c r="N423" s="186">
        <f>L423*'DADOS BASE'!$I$29</f>
        <v>682963.52152821375</v>
      </c>
      <c r="O423" s="187"/>
      <c r="P423" s="188">
        <v>0</v>
      </c>
      <c r="Q423" s="186">
        <f>P423*'DADOS BASE'!$I$33</f>
        <v>0</v>
      </c>
      <c r="R423" s="186"/>
      <c r="S423" s="188">
        <v>25.593218103447999</v>
      </c>
      <c r="T423" s="186">
        <f>S423*'DADOS BASE'!$I$37</f>
        <v>20162.053254901261</v>
      </c>
      <c r="U423" s="186"/>
      <c r="V423" s="186">
        <f t="shared" ref="V423:V438" si="291">T423+Q423</f>
        <v>20162.053254901261</v>
      </c>
      <c r="W423" s="187"/>
      <c r="X423" s="186"/>
      <c r="Y423" s="186"/>
      <c r="Z423" s="185"/>
      <c r="AA423" s="186"/>
      <c r="AB423" s="186"/>
      <c r="AC423" s="186"/>
      <c r="AD423" s="186"/>
      <c r="AE423" s="188">
        <v>728</v>
      </c>
      <c r="AF423" s="188">
        <v>298.84940968366999</v>
      </c>
      <c r="AG423" s="186" t="s">
        <v>155</v>
      </c>
      <c r="AH423" s="189">
        <v>0.67900000000000005</v>
      </c>
      <c r="AI423" s="183">
        <f t="shared" ref="AI423:AI438" si="292">AF423*AH423</f>
        <v>202.91874917521193</v>
      </c>
      <c r="AJ423" s="186">
        <f t="shared" ref="AJ423:AJ438" si="293">(AH423-$AI$12)*$AJ$12</f>
        <v>-5.843879215200555E-2</v>
      </c>
      <c r="AK423" s="186"/>
      <c r="AL423" s="186">
        <f t="shared" ref="AL423:AL438" si="294">$AL$11-(AJ423*$AL$11)</f>
        <v>190.17644455970373</v>
      </c>
      <c r="AM423" s="187">
        <f t="shared" ref="AM423:AM438" si="295">AF423*AL423</f>
        <v>56834.118192406648</v>
      </c>
      <c r="AN423" s="186"/>
      <c r="AO423" s="188">
        <v>1.7946524064171001</v>
      </c>
      <c r="AQ423" s="186">
        <f t="shared" ref="AQ423:AQ438" si="296">AF423*AO423</f>
        <v>536.33081224512819</v>
      </c>
      <c r="AR423" s="186">
        <f t="shared" ref="AR423:AR438" si="297">AQ423/$AQ$11</f>
        <v>5.7065042857369023E-4</v>
      </c>
      <c r="AS423" s="187">
        <f>AR423*'DADOS BASE'!W$38</f>
        <v>171180.72974789646</v>
      </c>
      <c r="AU423" s="188">
        <v>25.593218103447999</v>
      </c>
      <c r="AV423" s="188">
        <v>158.75</v>
      </c>
      <c r="AW423" s="186">
        <f t="shared" ref="AW423:AW438" si="298">AU423/4</f>
        <v>6.3983045258619997</v>
      </c>
      <c r="AX423" s="186">
        <f>IF($AW$11&gt;0,(AW423/$AW$11)*'DADOS BASE'!W$40,0)</f>
        <v>1149.6241586768551</v>
      </c>
      <c r="AY423" s="186">
        <f t="shared" ref="AY423:AY438" si="299">AO423*AW423</f>
        <v>11.482732614327661</v>
      </c>
      <c r="AZ423" s="186">
        <f t="shared" ref="AZ423:AZ438" si="300">IF($AY$11&gt;0,AY423/$AY$11,0)</f>
        <v>6.0055053827646088E-4</v>
      </c>
      <c r="BA423" s="186">
        <f>AZ423*'DADOS BASE'!W$41</f>
        <v>4436.779558299605</v>
      </c>
      <c r="BC423" s="188">
        <v>0</v>
      </c>
      <c r="BD423" s="186">
        <f>IF($BC$11&gt;0,(BC423/$BC$11)*'DADOS BASE'!W$39,0)</f>
        <v>0</v>
      </c>
      <c r="BE423" s="187"/>
    </row>
    <row r="424" spans="2:57" x14ac:dyDescent="0.3">
      <c r="B424" s="223" t="s">
        <v>532</v>
      </c>
      <c r="C424" s="223" t="s">
        <v>535</v>
      </c>
      <c r="D424" s="223" t="s">
        <v>94</v>
      </c>
      <c r="E424" s="223">
        <v>2010</v>
      </c>
      <c r="F424" s="224"/>
      <c r="G424" s="225"/>
      <c r="H424" s="226">
        <f ca="1">IF(AND(E424&gt;=2018,SUMIF('DADOS BASE'!$C$101:$D$104,D424,'DADOS BASE'!$H$101:$H$104)&gt;J424),
SUMIF('DADOS BASE'!$C$101:$D$104,D424,'DADOS BASE'!$H$101:$H$104),
J424)</f>
        <v>1387820.8918040842</v>
      </c>
      <c r="I424" s="225"/>
      <c r="J424" s="226">
        <f t="shared" si="289"/>
        <v>1387820.8918040842</v>
      </c>
      <c r="K424" s="226"/>
      <c r="L424" s="227">
        <v>1409.3327628258</v>
      </c>
      <c r="M424" s="226">
        <f t="shared" si="290"/>
        <v>1.0994961077281254E-3</v>
      </c>
      <c r="N424" s="226">
        <f>L424*'DADOS BASE'!$I$29</f>
        <v>1387820.8918040842</v>
      </c>
      <c r="O424" s="228"/>
      <c r="P424" s="227">
        <v>0</v>
      </c>
      <c r="Q424" s="226">
        <f>P424*'DADOS BASE'!$I$33</f>
        <v>0</v>
      </c>
      <c r="R424" s="226"/>
      <c r="S424" s="227">
        <v>0</v>
      </c>
      <c r="T424" s="226">
        <f>S424*'DADOS BASE'!$I$37</f>
        <v>0</v>
      </c>
      <c r="U424" s="226"/>
      <c r="V424" s="226">
        <f t="shared" si="291"/>
        <v>0</v>
      </c>
      <c r="W424" s="228"/>
      <c r="X424" s="226"/>
      <c r="Y424" s="226"/>
      <c r="Z424" s="224"/>
      <c r="AA424" s="226"/>
      <c r="AB424" s="226"/>
      <c r="AC424" s="226"/>
      <c r="AD424" s="226"/>
      <c r="AE424" s="227">
        <v>873</v>
      </c>
      <c r="AF424" s="227">
        <v>622.49367556046002</v>
      </c>
      <c r="AG424" s="226" t="s">
        <v>155</v>
      </c>
      <c r="AH424" s="229">
        <v>0.65700000000000003</v>
      </c>
      <c r="AI424" s="225">
        <f t="shared" si="292"/>
        <v>408.97834484322226</v>
      </c>
      <c r="AJ424" s="226">
        <f t="shared" si="293"/>
        <v>-8.8112261539761177E-2</v>
      </c>
      <c r="AK424" s="226"/>
      <c r="AL424" s="226">
        <f t="shared" si="294"/>
        <v>195.50806595128265</v>
      </c>
      <c r="AM424" s="228">
        <f t="shared" si="295"/>
        <v>121702.53457573077</v>
      </c>
      <c r="AN424" s="226"/>
      <c r="AO424" s="227">
        <v>2.0960912052117</v>
      </c>
      <c r="AP424" s="225"/>
      <c r="AQ424" s="226">
        <f t="shared" si="296"/>
        <v>1304.8035186421855</v>
      </c>
      <c r="AR424" s="226">
        <f t="shared" si="297"/>
        <v>1.3882974278518821E-3</v>
      </c>
      <c r="AS424" s="228">
        <f>AR424*'DADOS BASE'!W$38</f>
        <v>416454.19841496577</v>
      </c>
      <c r="AT424" s="225"/>
      <c r="AU424" s="227">
        <v>0</v>
      </c>
      <c r="AV424" s="227">
        <v>0</v>
      </c>
      <c r="AW424" s="226">
        <f t="shared" si="298"/>
        <v>0</v>
      </c>
      <c r="AX424" s="226">
        <f>IF($AW$11&gt;0,(AW424/$AW$11)*'DADOS BASE'!W$40,0)</f>
        <v>0</v>
      </c>
      <c r="AY424" s="226">
        <f t="shared" si="299"/>
        <v>0</v>
      </c>
      <c r="AZ424" s="226">
        <f t="shared" si="300"/>
        <v>0</v>
      </c>
      <c r="BA424" s="226">
        <f>AZ424*'DADOS BASE'!W$41</f>
        <v>0</v>
      </c>
      <c r="BB424" s="225"/>
      <c r="BC424" s="227">
        <v>0</v>
      </c>
      <c r="BD424" s="226">
        <f>IF($BC$11&gt;0,(BC424/$BC$11)*'DADOS BASE'!W$39,0)</f>
        <v>0</v>
      </c>
      <c r="BE424" s="187"/>
    </row>
    <row r="425" spans="2:57" x14ac:dyDescent="0.3">
      <c r="B425" s="184" t="s">
        <v>532</v>
      </c>
      <c r="C425" s="184" t="s">
        <v>536</v>
      </c>
      <c r="D425" s="184" t="s">
        <v>92</v>
      </c>
      <c r="E425" s="184">
        <v>2009</v>
      </c>
      <c r="F425" s="185"/>
      <c r="H425" s="186">
        <f ca="1">IF(AND(E425&gt;=2018,SUMIF('DADOS BASE'!$C$101:$D$104,D425,'DADOS BASE'!$H$101:$H$104)&gt;J425),
SUMIF('DADOS BASE'!$C$101:$D$104,D425,'DADOS BASE'!$H$101:$H$104),
J425)</f>
        <v>2737871.6031939979</v>
      </c>
      <c r="J425" s="186">
        <f t="shared" si="289"/>
        <v>2737871.6031939979</v>
      </c>
      <c r="K425" s="186"/>
      <c r="L425" s="188">
        <v>2780.3098898272001</v>
      </c>
      <c r="M425" s="186">
        <f t="shared" si="290"/>
        <v>2.1690689259317754E-3</v>
      </c>
      <c r="N425" s="186">
        <f>L425*'DADOS BASE'!$I$29</f>
        <v>2737871.6031939979</v>
      </c>
      <c r="O425" s="187"/>
      <c r="P425" s="188">
        <v>0</v>
      </c>
      <c r="Q425" s="186">
        <f>P425*'DADOS BASE'!$I$33</f>
        <v>0</v>
      </c>
      <c r="R425" s="186"/>
      <c r="S425" s="188">
        <v>0</v>
      </c>
      <c r="T425" s="186">
        <f>S425*'DADOS BASE'!$I$37</f>
        <v>0</v>
      </c>
      <c r="U425" s="186"/>
      <c r="V425" s="186">
        <f t="shared" si="291"/>
        <v>0</v>
      </c>
      <c r="W425" s="187"/>
      <c r="X425" s="186"/>
      <c r="Y425" s="186"/>
      <c r="Z425" s="185"/>
      <c r="AA425" s="186"/>
      <c r="AB425" s="186"/>
      <c r="AC425" s="186"/>
      <c r="AD425" s="186"/>
      <c r="AE425" s="188">
        <v>1111</v>
      </c>
      <c r="AF425" s="188">
        <v>895.58515259800004</v>
      </c>
      <c r="AG425" s="186" t="s">
        <v>155</v>
      </c>
      <c r="AH425" s="189">
        <v>0.58599999999999997</v>
      </c>
      <c r="AI425" s="183">
        <f t="shared" si="292"/>
        <v>524.81289942242802</v>
      </c>
      <c r="AJ425" s="186">
        <f t="shared" si="293"/>
        <v>-0.18387664001842707</v>
      </c>
      <c r="AK425" s="186"/>
      <c r="AL425" s="186">
        <f t="shared" si="294"/>
        <v>212.71466226046911</v>
      </c>
      <c r="AM425" s="187">
        <f t="shared" si="295"/>
        <v>190504.09326037427</v>
      </c>
      <c r="AN425" s="186"/>
      <c r="AO425" s="188">
        <v>1.5246598639455999</v>
      </c>
      <c r="AQ425" s="186">
        <f t="shared" si="296"/>
        <v>1365.4627369117661</v>
      </c>
      <c r="AR425" s="186">
        <f t="shared" si="297"/>
        <v>1.452838207744014E-3</v>
      </c>
      <c r="AS425" s="187">
        <f>AR425*'DADOS BASE'!W$38</f>
        <v>435814.80387012631</v>
      </c>
      <c r="AU425" s="188">
        <v>0</v>
      </c>
      <c r="AV425" s="188">
        <v>0</v>
      </c>
      <c r="AW425" s="186">
        <f t="shared" si="298"/>
        <v>0</v>
      </c>
      <c r="AX425" s="186">
        <f>IF($AW$11&gt;0,(AW425/$AW$11)*'DADOS BASE'!W$40,0)</f>
        <v>0</v>
      </c>
      <c r="AY425" s="186">
        <f t="shared" si="299"/>
        <v>0</v>
      </c>
      <c r="AZ425" s="186">
        <f t="shared" si="300"/>
        <v>0</v>
      </c>
      <c r="BA425" s="186">
        <f>AZ425*'DADOS BASE'!W$41</f>
        <v>0</v>
      </c>
      <c r="BC425" s="188">
        <v>71</v>
      </c>
      <c r="BD425" s="186">
        <f>IF($BC$11&gt;0,(BC425/$BC$11)*'DADOS BASE'!W$39,0)</f>
        <v>383627.48488849314</v>
      </c>
      <c r="BE425" s="187"/>
    </row>
    <row r="426" spans="2:57" x14ac:dyDescent="0.3">
      <c r="B426" s="223" t="s">
        <v>532</v>
      </c>
      <c r="C426" s="223" t="s">
        <v>537</v>
      </c>
      <c r="D426" s="223" t="s">
        <v>92</v>
      </c>
      <c r="E426" s="223">
        <v>2009</v>
      </c>
      <c r="F426" s="224"/>
      <c r="G426" s="225"/>
      <c r="H426" s="226">
        <f ca="1">IF(AND(E426&gt;=2018,SUMIF('DADOS BASE'!$C$101:$D$104,D426,'DADOS BASE'!$H$101:$H$104)&gt;J426),
SUMIF('DADOS BASE'!$C$101:$D$104,D426,'DADOS BASE'!$H$101:$H$104),
J426)</f>
        <v>2641522.7735776287</v>
      </c>
      <c r="I426" s="225"/>
      <c r="J426" s="226">
        <f t="shared" si="289"/>
        <v>2641522.7735776287</v>
      </c>
      <c r="K426" s="226"/>
      <c r="L426" s="227">
        <v>2682.4676084203002</v>
      </c>
      <c r="M426" s="226">
        <f t="shared" si="290"/>
        <v>2.0927369123607382E-3</v>
      </c>
      <c r="N426" s="226">
        <f>L426*'DADOS BASE'!$I$29</f>
        <v>2641522.7735776287</v>
      </c>
      <c r="O426" s="228"/>
      <c r="P426" s="227">
        <v>0</v>
      </c>
      <c r="Q426" s="226">
        <f>P426*'DADOS BASE'!$I$33</f>
        <v>0</v>
      </c>
      <c r="R426" s="226"/>
      <c r="S426" s="227">
        <v>0</v>
      </c>
      <c r="T426" s="226">
        <f>S426*'DADOS BASE'!$I$37</f>
        <v>0</v>
      </c>
      <c r="U426" s="226"/>
      <c r="V426" s="226">
        <f t="shared" si="291"/>
        <v>0</v>
      </c>
      <c r="W426" s="228"/>
      <c r="X426" s="226"/>
      <c r="Y426" s="226"/>
      <c r="Z426" s="224"/>
      <c r="AA426" s="226"/>
      <c r="AB426" s="226"/>
      <c r="AC426" s="226"/>
      <c r="AD426" s="226"/>
      <c r="AE426" s="227">
        <v>1354</v>
      </c>
      <c r="AF426" s="227">
        <v>882.34916061369995</v>
      </c>
      <c r="AG426" s="226" t="s">
        <v>155</v>
      </c>
      <c r="AH426" s="229">
        <v>0.629</v>
      </c>
      <c r="AI426" s="225">
        <f t="shared" si="292"/>
        <v>554.99762202601732</v>
      </c>
      <c r="AJ426" s="226">
        <f t="shared" si="293"/>
        <v>-0.12587849530599562</v>
      </c>
      <c r="AK426" s="226"/>
      <c r="AL426" s="226">
        <f t="shared" si="294"/>
        <v>202.29376590420125</v>
      </c>
      <c r="AM426" s="228">
        <f t="shared" si="295"/>
        <v>178493.73454295628</v>
      </c>
      <c r="AN426" s="226"/>
      <c r="AO426" s="227">
        <v>1.6130742049469999</v>
      </c>
      <c r="AP426" s="225"/>
      <c r="AQ426" s="226">
        <f t="shared" si="296"/>
        <v>1423.2946707425967</v>
      </c>
      <c r="AR426" s="226">
        <f t="shared" si="297"/>
        <v>1.5143707862801236E-3</v>
      </c>
      <c r="AS426" s="228">
        <f>AR426*'DADOS BASE'!W$38</f>
        <v>454273.02482232667</v>
      </c>
      <c r="AT426" s="225"/>
      <c r="AU426" s="227">
        <v>0</v>
      </c>
      <c r="AV426" s="227">
        <v>0</v>
      </c>
      <c r="AW426" s="226">
        <f t="shared" si="298"/>
        <v>0</v>
      </c>
      <c r="AX426" s="226">
        <f>IF($AW$11&gt;0,(AW426/$AW$11)*'DADOS BASE'!W$40,0)</f>
        <v>0</v>
      </c>
      <c r="AY426" s="226">
        <f t="shared" si="299"/>
        <v>0</v>
      </c>
      <c r="AZ426" s="226">
        <f t="shared" si="300"/>
        <v>0</v>
      </c>
      <c r="BA426" s="226">
        <f>AZ426*'DADOS BASE'!W$41</f>
        <v>0</v>
      </c>
      <c r="BB426" s="225"/>
      <c r="BC426" s="227">
        <v>156.5</v>
      </c>
      <c r="BD426" s="226">
        <f>IF($BC$11&gt;0,(BC426/$BC$11)*'DADOS BASE'!W$39,0)</f>
        <v>845601.42795843922</v>
      </c>
      <c r="BE426" s="187"/>
    </row>
    <row r="427" spans="2:57" x14ac:dyDescent="0.3">
      <c r="B427" s="184" t="s">
        <v>532</v>
      </c>
      <c r="C427" s="184" t="s">
        <v>538</v>
      </c>
      <c r="D427" s="184" t="s">
        <v>94</v>
      </c>
      <c r="E427" s="184">
        <v>2016</v>
      </c>
      <c r="F427" s="185"/>
      <c r="H427" s="186">
        <f ca="1">IF(AND(E427&gt;=2018,SUMIF('DADOS BASE'!$C$101:$D$104,D427,'DADOS BASE'!$H$101:$H$104)&gt;J427),
SUMIF('DADOS BASE'!$C$101:$D$104,D427,'DADOS BASE'!$H$101:$H$104),
J427)</f>
        <v>668450.35855986609</v>
      </c>
      <c r="J427" s="186">
        <f t="shared" si="289"/>
        <v>668450.35855986609</v>
      </c>
      <c r="K427" s="186"/>
      <c r="L427" s="188">
        <v>678.81165084381996</v>
      </c>
      <c r="M427" s="186">
        <f t="shared" si="290"/>
        <v>5.2957739128039821E-4</v>
      </c>
      <c r="N427" s="186">
        <f>L427*'DADOS BASE'!$I$29</f>
        <v>668450.35855986609</v>
      </c>
      <c r="O427" s="187"/>
      <c r="P427" s="188">
        <v>0</v>
      </c>
      <c r="Q427" s="186">
        <f>P427*'DADOS BASE'!$I$33</f>
        <v>0</v>
      </c>
      <c r="R427" s="186"/>
      <c r="S427" s="188">
        <v>0</v>
      </c>
      <c r="T427" s="186">
        <f>S427*'DADOS BASE'!$I$37</f>
        <v>0</v>
      </c>
      <c r="U427" s="186"/>
      <c r="V427" s="186">
        <f t="shared" si="291"/>
        <v>0</v>
      </c>
      <c r="W427" s="187"/>
      <c r="X427" s="186"/>
      <c r="Y427" s="186"/>
      <c r="Z427" s="185"/>
      <c r="AA427" s="186"/>
      <c r="AB427" s="186"/>
      <c r="AC427" s="186"/>
      <c r="AD427" s="186"/>
      <c r="AE427" s="188">
        <v>987</v>
      </c>
      <c r="AF427" s="188">
        <v>415.2615930398</v>
      </c>
      <c r="AG427" s="186" t="s">
        <v>155</v>
      </c>
      <c r="AH427" s="189">
        <v>0.68600000000000005</v>
      </c>
      <c r="AI427" s="183">
        <f t="shared" si="292"/>
        <v>284.8694528253028</v>
      </c>
      <c r="AJ427" s="186">
        <f t="shared" si="293"/>
        <v>-4.8997233710446939E-2</v>
      </c>
      <c r="AK427" s="186"/>
      <c r="AL427" s="186">
        <f t="shared" si="294"/>
        <v>188.48001957147409</v>
      </c>
      <c r="AM427" s="187">
        <f t="shared" si="295"/>
        <v>78268.513183423012</v>
      </c>
      <c r="AN427" s="186"/>
      <c r="AO427" s="188">
        <v>1.6271551724138</v>
      </c>
      <c r="AQ427" s="186">
        <f t="shared" si="296"/>
        <v>675.69504901950506</v>
      </c>
      <c r="AR427" s="186">
        <f t="shared" si="297"/>
        <v>7.1893253287836571E-4</v>
      </c>
      <c r="AS427" s="187">
        <f>AR427*'DADOS BASE'!W$38</f>
        <v>215661.61954039443</v>
      </c>
      <c r="AU427" s="188">
        <v>0</v>
      </c>
      <c r="AV427" s="188">
        <v>0</v>
      </c>
      <c r="AW427" s="186">
        <f t="shared" si="298"/>
        <v>0</v>
      </c>
      <c r="AX427" s="186">
        <f>IF($AW$11&gt;0,(AW427/$AW$11)*'DADOS BASE'!W$40,0)</f>
        <v>0</v>
      </c>
      <c r="AY427" s="186">
        <f t="shared" si="299"/>
        <v>0</v>
      </c>
      <c r="AZ427" s="186">
        <f t="shared" si="300"/>
        <v>0</v>
      </c>
      <c r="BA427" s="186">
        <f>AZ427*'DADOS BASE'!W$41</f>
        <v>0</v>
      </c>
      <c r="BC427" s="188">
        <v>0</v>
      </c>
      <c r="BD427" s="186">
        <f>IF($BC$11&gt;0,(BC427/$BC$11)*'DADOS BASE'!W$39,0)</f>
        <v>0</v>
      </c>
      <c r="BE427" s="187"/>
    </row>
    <row r="428" spans="2:57" x14ac:dyDescent="0.3">
      <c r="B428" s="223" t="s">
        <v>532</v>
      </c>
      <c r="C428" s="223" t="s">
        <v>539</v>
      </c>
      <c r="D428" s="223" t="s">
        <v>94</v>
      </c>
      <c r="E428" s="223">
        <v>2010</v>
      </c>
      <c r="F428" s="224"/>
      <c r="G428" s="225"/>
      <c r="H428" s="226">
        <f ca="1">IF(AND(E428&gt;=2018,SUMIF('DADOS BASE'!$C$101:$D$104,D428,'DADOS BASE'!$H$101:$H$104)&gt;J428),
SUMIF('DADOS BASE'!$C$101:$D$104,D428,'DADOS BASE'!$H$101:$H$104),
J428)</f>
        <v>1830140.4082052377</v>
      </c>
      <c r="I428" s="225"/>
      <c r="J428" s="226">
        <f t="shared" si="289"/>
        <v>1830140.4082052377</v>
      </c>
      <c r="K428" s="226"/>
      <c r="L428" s="227">
        <v>1820.3978426838</v>
      </c>
      <c r="M428" s="226">
        <f t="shared" si="290"/>
        <v>1.4201900327175689E-3</v>
      </c>
      <c r="N428" s="226">
        <f>L428*'DADOS BASE'!$I$29</f>
        <v>1792611.5280298318</v>
      </c>
      <c r="O428" s="228"/>
      <c r="P428" s="227">
        <v>0</v>
      </c>
      <c r="Q428" s="226">
        <f>P428*'DADOS BASE'!$I$33</f>
        <v>0</v>
      </c>
      <c r="R428" s="226"/>
      <c r="S428" s="227">
        <v>47.638244149258</v>
      </c>
      <c r="T428" s="226">
        <f>S428*'DADOS BASE'!$I$37</f>
        <v>37528.880175405866</v>
      </c>
      <c r="U428" s="226"/>
      <c r="V428" s="226">
        <f t="shared" si="291"/>
        <v>37528.880175405866</v>
      </c>
      <c r="W428" s="228"/>
      <c r="X428" s="226"/>
      <c r="Y428" s="226"/>
      <c r="Z428" s="224"/>
      <c r="AA428" s="226"/>
      <c r="AB428" s="226"/>
      <c r="AC428" s="226"/>
      <c r="AD428" s="226"/>
      <c r="AE428" s="227">
        <v>1274</v>
      </c>
      <c r="AF428" s="227">
        <v>729.00718084918003</v>
      </c>
      <c r="AG428" s="226" t="s">
        <v>155</v>
      </c>
      <c r="AH428" s="229">
        <v>0.67700000000000005</v>
      </c>
      <c r="AI428" s="225">
        <f t="shared" si="292"/>
        <v>493.53786143489492</v>
      </c>
      <c r="AJ428" s="226">
        <f t="shared" si="293"/>
        <v>-6.1136380278165148E-2</v>
      </c>
      <c r="AK428" s="226"/>
      <c r="AL428" s="226">
        <f t="shared" si="294"/>
        <v>190.66113741348363</v>
      </c>
      <c r="AM428" s="228">
        <f t="shared" si="295"/>
        <v>138993.33828330183</v>
      </c>
      <c r="AN428" s="226"/>
      <c r="AO428" s="227">
        <v>1.5741797432239999</v>
      </c>
      <c r="AP428" s="225"/>
      <c r="AQ428" s="226">
        <f t="shared" si="296"/>
        <v>1147.5883367576143</v>
      </c>
      <c r="AR428" s="226">
        <f t="shared" si="297"/>
        <v>1.2210221028613848E-3</v>
      </c>
      <c r="AS428" s="228">
        <f>AR428*'DADOS BASE'!W$38</f>
        <v>366275.8216594102</v>
      </c>
      <c r="AT428" s="225"/>
      <c r="AU428" s="227">
        <v>47.638244149258</v>
      </c>
      <c r="AV428" s="227">
        <v>174.75</v>
      </c>
      <c r="AW428" s="226">
        <f t="shared" si="298"/>
        <v>11.9095610373145</v>
      </c>
      <c r="AX428" s="226">
        <f>IF($AW$11&gt;0,(AW428/$AW$11)*'DADOS BASE'!W$40,0)</f>
        <v>2139.8667463219517</v>
      </c>
      <c r="AY428" s="226">
        <f t="shared" si="299"/>
        <v>18.747789735630292</v>
      </c>
      <c r="AZ428" s="226">
        <f t="shared" si="300"/>
        <v>9.8051531768476321E-4</v>
      </c>
      <c r="BA428" s="226">
        <f>AZ428*'DADOS BASE'!W$41</f>
        <v>7243.9037863300437</v>
      </c>
      <c r="BB428" s="225"/>
      <c r="BC428" s="227">
        <v>0</v>
      </c>
      <c r="BD428" s="226">
        <f>IF($BC$11&gt;0,(BC428/$BC$11)*'DADOS BASE'!W$39,0)</f>
        <v>0</v>
      </c>
      <c r="BE428" s="187"/>
    </row>
    <row r="429" spans="2:57" x14ac:dyDescent="0.3">
      <c r="B429" s="184" t="s">
        <v>532</v>
      </c>
      <c r="C429" s="184" t="s">
        <v>540</v>
      </c>
      <c r="D429" s="184" t="s">
        <v>94</v>
      </c>
      <c r="E429" s="184">
        <v>2010</v>
      </c>
      <c r="F429" s="185"/>
      <c r="H429" s="186">
        <f ca="1">IF(AND(E429&gt;=2018,SUMIF('DADOS BASE'!$C$101:$D$104,D429,'DADOS BASE'!$H$101:$H$104)&gt;J429),
SUMIF('DADOS BASE'!$C$101:$D$104,D429,'DADOS BASE'!$H$101:$H$104),
J429)</f>
        <v>2130785.5834837328</v>
      </c>
      <c r="J429" s="186">
        <f t="shared" si="289"/>
        <v>2130785.5834837328</v>
      </c>
      <c r="K429" s="186"/>
      <c r="L429" s="188">
        <v>2152.1747537019</v>
      </c>
      <c r="M429" s="186">
        <f t="shared" si="290"/>
        <v>1.6790270028927601E-3</v>
      </c>
      <c r="N429" s="186">
        <f>L429*'DADOS BASE'!$I$29</f>
        <v>2119324.2396579352</v>
      </c>
      <c r="O429" s="187"/>
      <c r="P429" s="188">
        <v>0</v>
      </c>
      <c r="Q429" s="186">
        <f>P429*'DADOS BASE'!$I$33</f>
        <v>0</v>
      </c>
      <c r="R429" s="186"/>
      <c r="S429" s="188">
        <v>14.54875</v>
      </c>
      <c r="T429" s="186">
        <f>S429*'DADOS BASE'!$I$37</f>
        <v>11461.343825797585</v>
      </c>
      <c r="U429" s="186"/>
      <c r="V429" s="186">
        <f t="shared" si="291"/>
        <v>11461.343825797585</v>
      </c>
      <c r="W429" s="187"/>
      <c r="X429" s="186"/>
      <c r="Y429" s="186"/>
      <c r="Z429" s="185"/>
      <c r="AA429" s="186"/>
      <c r="AB429" s="186"/>
      <c r="AC429" s="186"/>
      <c r="AD429" s="186"/>
      <c r="AE429" s="188">
        <v>1713</v>
      </c>
      <c r="AF429" s="188">
        <v>1159.7334147284</v>
      </c>
      <c r="AG429" s="186" t="s">
        <v>155</v>
      </c>
      <c r="AH429" s="189">
        <v>0.66400000000000003</v>
      </c>
      <c r="AI429" s="183">
        <f t="shared" si="292"/>
        <v>770.06298737965767</v>
      </c>
      <c r="AJ429" s="186">
        <f t="shared" si="293"/>
        <v>-7.8670703098202566E-2</v>
      </c>
      <c r="AK429" s="186"/>
      <c r="AL429" s="186">
        <f t="shared" si="294"/>
        <v>193.81164096305298</v>
      </c>
      <c r="AM429" s="187">
        <f t="shared" si="295"/>
        <v>224769.83618819609</v>
      </c>
      <c r="AN429" s="186"/>
      <c r="AO429" s="188">
        <v>1.7401574803149999</v>
      </c>
      <c r="AQ429" s="186">
        <f t="shared" si="296"/>
        <v>2018.1187768108834</v>
      </c>
      <c r="AR429" s="186">
        <f t="shared" si="297"/>
        <v>2.1472574735709737E-3</v>
      </c>
      <c r="AS429" s="187">
        <f>AR429*'DADOS BASE'!W$38</f>
        <v>644123.06182126736</v>
      </c>
      <c r="AU429" s="188">
        <v>14.54875</v>
      </c>
      <c r="AV429" s="188">
        <v>68.75</v>
      </c>
      <c r="AW429" s="186">
        <f t="shared" si="298"/>
        <v>3.6371875</v>
      </c>
      <c r="AX429" s="186">
        <f>IF($AW$11&gt;0,(AW429/$AW$11)*'DADOS BASE'!W$40,0)</f>
        <v>653.51666253711835</v>
      </c>
      <c r="AY429" s="186">
        <f t="shared" si="299"/>
        <v>6.3292790354332142</v>
      </c>
      <c r="AZ429" s="186">
        <f t="shared" si="300"/>
        <v>3.3102329030012823E-4</v>
      </c>
      <c r="BA429" s="186">
        <f>AZ429*'DADOS BASE'!W$41</f>
        <v>2445.5516632117074</v>
      </c>
      <c r="BC429" s="188">
        <v>0</v>
      </c>
      <c r="BD429" s="186">
        <f>IF($BC$11&gt;0,(BC429/$BC$11)*'DADOS BASE'!W$39,0)</f>
        <v>0</v>
      </c>
      <c r="BE429" s="187"/>
    </row>
    <row r="430" spans="2:57" x14ac:dyDescent="0.3">
      <c r="B430" s="223" t="s">
        <v>532</v>
      </c>
      <c r="C430" s="223" t="s">
        <v>541</v>
      </c>
      <c r="D430" s="223" t="s">
        <v>94</v>
      </c>
      <c r="E430" s="223">
        <v>2013</v>
      </c>
      <c r="F430" s="224"/>
      <c r="G430" s="225"/>
      <c r="H430" s="226">
        <f ca="1">IF(AND(E430&gt;=2018,SUMIF('DADOS BASE'!$C$101:$D$104,D430,'DADOS BASE'!$H$101:$H$104)&gt;J430),
SUMIF('DADOS BASE'!$C$101:$D$104,D430,'DADOS BASE'!$H$101:$H$104),
J430)</f>
        <v>601582.5666412405</v>
      </c>
      <c r="I430" s="225"/>
      <c r="J430" s="226">
        <f t="shared" si="289"/>
        <v>601582.5666412405</v>
      </c>
      <c r="K430" s="226"/>
      <c r="L430" s="227">
        <v>609.96124225219</v>
      </c>
      <c r="M430" s="226">
        <f t="shared" si="290"/>
        <v>4.7586349328642585E-4</v>
      </c>
      <c r="N430" s="226">
        <f>L430*'DADOS BASE'!$I$29</f>
        <v>600650.87360279774</v>
      </c>
      <c r="O430" s="228"/>
      <c r="P430" s="227">
        <v>0</v>
      </c>
      <c r="Q430" s="226">
        <f>P430*'DADOS BASE'!$I$33</f>
        <v>0</v>
      </c>
      <c r="R430" s="226"/>
      <c r="S430" s="227">
        <v>1.1826683937824001</v>
      </c>
      <c r="T430" s="226">
        <f>S430*'DADOS BASE'!$I$37</f>
        <v>931.69303844274305</v>
      </c>
      <c r="U430" s="226"/>
      <c r="V430" s="226">
        <f t="shared" si="291"/>
        <v>931.69303844274305</v>
      </c>
      <c r="W430" s="228"/>
      <c r="X430" s="226"/>
      <c r="Y430" s="226"/>
      <c r="Z430" s="224"/>
      <c r="AA430" s="226"/>
      <c r="AB430" s="226"/>
      <c r="AC430" s="226"/>
      <c r="AD430" s="226"/>
      <c r="AE430" s="227">
        <v>958</v>
      </c>
      <c r="AF430" s="227">
        <v>454.08116840270998</v>
      </c>
      <c r="AG430" s="226" t="s">
        <v>155</v>
      </c>
      <c r="AH430" s="229">
        <v>0.66500000000000004</v>
      </c>
      <c r="AI430" s="225">
        <f t="shared" si="292"/>
        <v>301.96397698780214</v>
      </c>
      <c r="AJ430" s="226">
        <f t="shared" si="293"/>
        <v>-7.732190903512276E-2</v>
      </c>
      <c r="AK430" s="226"/>
      <c r="AL430" s="226">
        <f t="shared" si="294"/>
        <v>193.56929453616306</v>
      </c>
      <c r="AM430" s="228">
        <f t="shared" si="295"/>
        <v>87896.171429869224</v>
      </c>
      <c r="AN430" s="226"/>
      <c r="AO430" s="227">
        <v>1.8631067961165</v>
      </c>
      <c r="AP430" s="225"/>
      <c r="AQ430" s="226">
        <f t="shared" si="296"/>
        <v>846.00171083960993</v>
      </c>
      <c r="AR430" s="226">
        <f t="shared" si="297"/>
        <v>9.0013705691040842E-4</v>
      </c>
      <c r="AS430" s="228">
        <f>AR430*'DADOS BASE'!W$38</f>
        <v>270018.40454265045</v>
      </c>
      <c r="AT430" s="225"/>
      <c r="AU430" s="227">
        <v>1.1826683937824001</v>
      </c>
      <c r="AV430" s="227">
        <v>10.75</v>
      </c>
      <c r="AW430" s="226">
        <f t="shared" si="298"/>
        <v>0.29566709844560002</v>
      </c>
      <c r="AX430" s="226">
        <f>IF($AW$11&gt;0,(AW430/$AW$11)*'DADOS BASE'!W$40,0)</f>
        <v>53.124392239388854</v>
      </c>
      <c r="AY430" s="226">
        <f t="shared" si="299"/>
        <v>0.55085938050204364</v>
      </c>
      <c r="AZ430" s="226">
        <f t="shared" si="300"/>
        <v>2.8810119384157603E-5</v>
      </c>
      <c r="BA430" s="226">
        <f>AZ430*'DADOS BASE'!W$41</f>
        <v>212.8449491072779</v>
      </c>
      <c r="BB430" s="225"/>
      <c r="BC430" s="227">
        <v>0</v>
      </c>
      <c r="BD430" s="226">
        <f>IF($BC$11&gt;0,(BC430/$BC$11)*'DADOS BASE'!W$39,0)</f>
        <v>0</v>
      </c>
      <c r="BE430" s="187"/>
    </row>
    <row r="431" spans="2:57" x14ac:dyDescent="0.3">
      <c r="B431" s="184" t="s">
        <v>532</v>
      </c>
      <c r="C431" s="184" t="s">
        <v>542</v>
      </c>
      <c r="D431" s="184" t="s">
        <v>94</v>
      </c>
      <c r="E431" s="184">
        <v>2009</v>
      </c>
      <c r="F431" s="185"/>
      <c r="H431" s="186">
        <f ca="1">IF(AND(E431&gt;=2018,SUMIF('DADOS BASE'!$C$101:$D$104,D431,'DADOS BASE'!$H$101:$H$104)&gt;J431),
SUMIF('DADOS BASE'!$C$101:$D$104,D431,'DADOS BASE'!$H$101:$H$104),
J431)</f>
        <v>1800116.1468064773</v>
      </c>
      <c r="J431" s="186">
        <f t="shared" si="289"/>
        <v>1800116.1468064773</v>
      </c>
      <c r="K431" s="186"/>
      <c r="L431" s="188">
        <v>1828.0187865512</v>
      </c>
      <c r="M431" s="186">
        <f t="shared" si="290"/>
        <v>1.4261355399394545E-3</v>
      </c>
      <c r="N431" s="186">
        <f>L431*'DADOS BASE'!$I$29</f>
        <v>1800116.1468064773</v>
      </c>
      <c r="O431" s="187"/>
      <c r="P431" s="188">
        <v>0</v>
      </c>
      <c r="Q431" s="186">
        <f>P431*'DADOS BASE'!$I$33</f>
        <v>0</v>
      </c>
      <c r="R431" s="186"/>
      <c r="S431" s="188">
        <v>0</v>
      </c>
      <c r="T431" s="186">
        <f>S431*'DADOS BASE'!$I$37</f>
        <v>0</v>
      </c>
      <c r="U431" s="186"/>
      <c r="V431" s="186">
        <f t="shared" si="291"/>
        <v>0</v>
      </c>
      <c r="W431" s="187"/>
      <c r="X431" s="186"/>
      <c r="Y431" s="186"/>
      <c r="Z431" s="185"/>
      <c r="AA431" s="186"/>
      <c r="AB431" s="186"/>
      <c r="AC431" s="186"/>
      <c r="AD431" s="186"/>
      <c r="AE431" s="188">
        <v>1369</v>
      </c>
      <c r="AF431" s="188">
        <v>731.49521953853002</v>
      </c>
      <c r="AG431" s="186" t="s">
        <v>155</v>
      </c>
      <c r="AH431" s="189">
        <v>0.61899999999999999</v>
      </c>
      <c r="AI431" s="183">
        <f t="shared" si="292"/>
        <v>452.7955408943501</v>
      </c>
      <c r="AJ431" s="186">
        <f t="shared" si="293"/>
        <v>-0.13936643593679363</v>
      </c>
      <c r="AK431" s="186"/>
      <c r="AL431" s="186">
        <f t="shared" si="294"/>
        <v>204.71723017310075</v>
      </c>
      <c r="AM431" s="187">
        <f t="shared" si="295"/>
        <v>149749.67522879213</v>
      </c>
      <c r="AN431" s="186"/>
      <c r="AO431" s="188">
        <v>1.7721393034826001</v>
      </c>
      <c r="AQ431" s="186">
        <f t="shared" si="296"/>
        <v>1296.3114288538623</v>
      </c>
      <c r="AR431" s="186">
        <f t="shared" si="297"/>
        <v>1.3792619322835647E-3</v>
      </c>
      <c r="AS431" s="187">
        <f>AR431*'DADOS BASE'!W$38</f>
        <v>413743.77773082757</v>
      </c>
      <c r="AU431" s="188">
        <v>0</v>
      </c>
      <c r="AV431" s="188">
        <v>0</v>
      </c>
      <c r="AW431" s="186">
        <f t="shared" si="298"/>
        <v>0</v>
      </c>
      <c r="AX431" s="186">
        <f>IF($AW$11&gt;0,(AW431/$AW$11)*'DADOS BASE'!W$40,0)</f>
        <v>0</v>
      </c>
      <c r="AY431" s="186">
        <f t="shared" si="299"/>
        <v>0</v>
      </c>
      <c r="AZ431" s="186">
        <f t="shared" si="300"/>
        <v>0</v>
      </c>
      <c r="BA431" s="186">
        <f>AZ431*'DADOS BASE'!W$41</f>
        <v>0</v>
      </c>
      <c r="BC431" s="188">
        <v>0</v>
      </c>
      <c r="BD431" s="186">
        <f>IF($BC$11&gt;0,(BC431/$BC$11)*'DADOS BASE'!W$39,0)</f>
        <v>0</v>
      </c>
      <c r="BE431" s="187"/>
    </row>
    <row r="432" spans="2:57" x14ac:dyDescent="0.3">
      <c r="B432" s="223" t="s">
        <v>532</v>
      </c>
      <c r="C432" s="223" t="s">
        <v>543</v>
      </c>
      <c r="D432" s="223" t="s">
        <v>94</v>
      </c>
      <c r="E432" s="223">
        <v>2013</v>
      </c>
      <c r="F432" s="224"/>
      <c r="G432" s="225"/>
      <c r="H432" s="226">
        <f ca="1">IF(AND(E432&gt;=2018,SUMIF('DADOS BASE'!$C$101:$D$104,D432,'DADOS BASE'!$H$101:$H$104)&gt;J432),
SUMIF('DADOS BASE'!$C$101:$D$104,D432,'DADOS BASE'!$H$101:$H$104),
J432)</f>
        <v>643283.40364482976</v>
      </c>
      <c r="I432" s="225"/>
      <c r="J432" s="226">
        <f t="shared" si="289"/>
        <v>643283.40364482976</v>
      </c>
      <c r="K432" s="226"/>
      <c r="L432" s="227">
        <v>653.25459639120004</v>
      </c>
      <c r="M432" s="226">
        <f t="shared" si="290"/>
        <v>5.0963896180735498E-4</v>
      </c>
      <c r="N432" s="226">
        <f>L432*'DADOS BASE'!$I$29</f>
        <v>643283.40364482976</v>
      </c>
      <c r="O432" s="228"/>
      <c r="P432" s="227">
        <v>0</v>
      </c>
      <c r="Q432" s="226">
        <f>P432*'DADOS BASE'!$I$33</f>
        <v>0</v>
      </c>
      <c r="R432" s="226"/>
      <c r="S432" s="227">
        <v>0</v>
      </c>
      <c r="T432" s="226">
        <f>S432*'DADOS BASE'!$I$37</f>
        <v>0</v>
      </c>
      <c r="U432" s="226"/>
      <c r="V432" s="226">
        <f t="shared" si="291"/>
        <v>0</v>
      </c>
      <c r="W432" s="228"/>
      <c r="X432" s="226"/>
      <c r="Y432" s="226"/>
      <c r="Z432" s="224"/>
      <c r="AA432" s="226"/>
      <c r="AB432" s="226"/>
      <c r="AC432" s="226"/>
      <c r="AD432" s="226"/>
      <c r="AE432" s="227">
        <v>1258</v>
      </c>
      <c r="AF432" s="227">
        <v>481.34236224029002</v>
      </c>
      <c r="AG432" s="226" t="s">
        <v>155</v>
      </c>
      <c r="AH432" s="229">
        <v>0.71699999999999997</v>
      </c>
      <c r="AI432" s="225">
        <f t="shared" si="292"/>
        <v>345.12247372628792</v>
      </c>
      <c r="AJ432" s="226">
        <f t="shared" si="293"/>
        <v>-7.184617754973247E-3</v>
      </c>
      <c r="AK432" s="226"/>
      <c r="AL432" s="226">
        <f t="shared" si="294"/>
        <v>180.96728033788565</v>
      </c>
      <c r="AM432" s="228">
        <f t="shared" si="295"/>
        <v>87107.218206038669</v>
      </c>
      <c r="AN432" s="226"/>
      <c r="AO432" s="227">
        <v>1.5365853658537001</v>
      </c>
      <c r="AP432" s="225"/>
      <c r="AQ432" s="226">
        <f t="shared" si="296"/>
        <v>739.62362978388023</v>
      </c>
      <c r="AR432" s="226">
        <f t="shared" si="297"/>
        <v>7.8695188059882632E-4</v>
      </c>
      <c r="AS432" s="228">
        <f>AR432*'DADOS BASE'!W$38</f>
        <v>236065.70757177807</v>
      </c>
      <c r="AT432" s="225"/>
      <c r="AU432" s="227">
        <v>0</v>
      </c>
      <c r="AV432" s="227">
        <v>0</v>
      </c>
      <c r="AW432" s="226">
        <f t="shared" si="298"/>
        <v>0</v>
      </c>
      <c r="AX432" s="226">
        <f>IF($AW$11&gt;0,(AW432/$AW$11)*'DADOS BASE'!W$40,0)</f>
        <v>0</v>
      </c>
      <c r="AY432" s="226">
        <f t="shared" si="299"/>
        <v>0</v>
      </c>
      <c r="AZ432" s="226">
        <f t="shared" si="300"/>
        <v>0</v>
      </c>
      <c r="BA432" s="226">
        <f>AZ432*'DADOS BASE'!W$41</f>
        <v>0</v>
      </c>
      <c r="BB432" s="225"/>
      <c r="BC432" s="227">
        <v>0</v>
      </c>
      <c r="BD432" s="226">
        <f>IF($BC$11&gt;0,(BC432/$BC$11)*'DADOS BASE'!W$39,0)</f>
        <v>0</v>
      </c>
      <c r="BE432" s="187"/>
    </row>
    <row r="433" spans="2:57" x14ac:dyDescent="0.3">
      <c r="B433" s="184" t="s">
        <v>532</v>
      </c>
      <c r="C433" s="184" t="s">
        <v>544</v>
      </c>
      <c r="D433" s="184" t="s">
        <v>94</v>
      </c>
      <c r="E433" s="184">
        <v>2016</v>
      </c>
      <c r="F433" s="185"/>
      <c r="H433" s="186">
        <f ca="1">IF(AND(E433&gt;=2018,SUMIF('DADOS BASE'!$C$101:$D$104,D433,'DADOS BASE'!$H$101:$H$104)&gt;J433),
SUMIF('DADOS BASE'!$C$101:$D$104,D433,'DADOS BASE'!$H$101:$H$104),
J433)</f>
        <v>576739.5410635476</v>
      </c>
      <c r="J433" s="186">
        <f t="shared" si="289"/>
        <v>576739.5410635476</v>
      </c>
      <c r="K433" s="186"/>
      <c r="L433" s="188">
        <v>585.67927290773002</v>
      </c>
      <c r="M433" s="186">
        <f t="shared" si="290"/>
        <v>4.5691982612248625E-4</v>
      </c>
      <c r="N433" s="186">
        <f>L433*'DADOS BASE'!$I$29</f>
        <v>576739.5410635476</v>
      </c>
      <c r="O433" s="187"/>
      <c r="P433" s="188">
        <v>0</v>
      </c>
      <c r="Q433" s="186">
        <f>P433*'DADOS BASE'!$I$33</f>
        <v>0</v>
      </c>
      <c r="R433" s="186"/>
      <c r="S433" s="188">
        <v>0</v>
      </c>
      <c r="T433" s="186">
        <f>S433*'DADOS BASE'!$I$37</f>
        <v>0</v>
      </c>
      <c r="U433" s="186"/>
      <c r="V433" s="186">
        <f t="shared" si="291"/>
        <v>0</v>
      </c>
      <c r="W433" s="187"/>
      <c r="X433" s="186"/>
      <c r="Y433" s="186"/>
      <c r="Z433" s="185"/>
      <c r="AA433" s="186"/>
      <c r="AB433" s="186"/>
      <c r="AC433" s="186"/>
      <c r="AD433" s="186"/>
      <c r="AE433" s="188">
        <v>784</v>
      </c>
      <c r="AF433" s="188">
        <v>292.11951055654998</v>
      </c>
      <c r="AG433" s="186" t="s">
        <v>155</v>
      </c>
      <c r="AH433" s="189">
        <v>0.73499999999999999</v>
      </c>
      <c r="AI433" s="183">
        <f t="shared" si="292"/>
        <v>214.70784025906423</v>
      </c>
      <c r="AJ433" s="186">
        <f t="shared" si="293"/>
        <v>1.7093675380463177E-2</v>
      </c>
      <c r="AK433" s="186"/>
      <c r="AL433" s="186">
        <f t="shared" si="294"/>
        <v>176.60504465386654</v>
      </c>
      <c r="AM433" s="187">
        <f t="shared" si="295"/>
        <v>51589.779206105151</v>
      </c>
      <c r="AN433" s="186"/>
      <c r="AO433" s="188">
        <v>1.4508733624454</v>
      </c>
      <c r="AQ433" s="186">
        <f t="shared" si="296"/>
        <v>423.82841651708617</v>
      </c>
      <c r="AR433" s="186">
        <f t="shared" si="297"/>
        <v>4.5094904489030807E-4</v>
      </c>
      <c r="AS433" s="187">
        <f>AR433*'DADOS BASE'!W$38</f>
        <v>135273.33498439935</v>
      </c>
      <c r="AU433" s="188">
        <v>0</v>
      </c>
      <c r="AV433" s="188">
        <v>0</v>
      </c>
      <c r="AW433" s="186">
        <f t="shared" si="298"/>
        <v>0</v>
      </c>
      <c r="AX433" s="186">
        <f>IF($AW$11&gt;0,(AW433/$AW$11)*'DADOS BASE'!W$40,0)</f>
        <v>0</v>
      </c>
      <c r="AY433" s="186">
        <f t="shared" si="299"/>
        <v>0</v>
      </c>
      <c r="AZ433" s="186">
        <f t="shared" si="300"/>
        <v>0</v>
      </c>
      <c r="BA433" s="186">
        <f>AZ433*'DADOS BASE'!W$41</f>
        <v>0</v>
      </c>
      <c r="BC433" s="188">
        <v>0</v>
      </c>
      <c r="BD433" s="186">
        <f>IF($BC$11&gt;0,(BC433/$BC$11)*'DADOS BASE'!W$39,0)</f>
        <v>0</v>
      </c>
      <c r="BE433" s="187"/>
    </row>
    <row r="434" spans="2:57" x14ac:dyDescent="0.3">
      <c r="B434" s="223" t="s">
        <v>532</v>
      </c>
      <c r="C434" s="223" t="s">
        <v>545</v>
      </c>
      <c r="D434" s="223" t="s">
        <v>94</v>
      </c>
      <c r="E434" s="223">
        <v>2014</v>
      </c>
      <c r="F434" s="224"/>
      <c r="G434" s="225"/>
      <c r="H434" s="226">
        <f ca="1">IF(AND(E434&gt;=2018,SUMIF('DADOS BASE'!$C$101:$D$104,D434,'DADOS BASE'!$H$101:$H$104)&gt;J434),
SUMIF('DADOS BASE'!$C$101:$D$104,D434,'DADOS BASE'!$H$101:$H$104),
J434)</f>
        <v>331888.09112220944</v>
      </c>
      <c r="I434" s="225"/>
      <c r="J434" s="226">
        <f t="shared" si="289"/>
        <v>331888.09112220944</v>
      </c>
      <c r="K434" s="226"/>
      <c r="L434" s="227">
        <v>337.03251130785998</v>
      </c>
      <c r="M434" s="226">
        <f t="shared" si="290"/>
        <v>2.629371459567999E-4</v>
      </c>
      <c r="N434" s="226">
        <f>L434*'DADOS BASE'!$I$29</f>
        <v>331888.09112220944</v>
      </c>
      <c r="O434" s="228"/>
      <c r="P434" s="227">
        <v>0</v>
      </c>
      <c r="Q434" s="226">
        <f>P434*'DADOS BASE'!$I$33</f>
        <v>0</v>
      </c>
      <c r="R434" s="226"/>
      <c r="S434" s="227">
        <v>0</v>
      </c>
      <c r="T434" s="226">
        <f>S434*'DADOS BASE'!$I$37</f>
        <v>0</v>
      </c>
      <c r="U434" s="226"/>
      <c r="V434" s="226">
        <f t="shared" si="291"/>
        <v>0</v>
      </c>
      <c r="W434" s="228"/>
      <c r="X434" s="226"/>
      <c r="Y434" s="226"/>
      <c r="Z434" s="224"/>
      <c r="AA434" s="226"/>
      <c r="AB434" s="226"/>
      <c r="AC434" s="226"/>
      <c r="AD434" s="226"/>
      <c r="AE434" s="227">
        <v>458</v>
      </c>
      <c r="AF434" s="227">
        <v>199.35620562539</v>
      </c>
      <c r="AG434" s="226" t="s">
        <v>155</v>
      </c>
      <c r="AH434" s="229">
        <v>0.622</v>
      </c>
      <c r="AI434" s="225">
        <f t="shared" si="292"/>
        <v>123.99955989899259</v>
      </c>
      <c r="AJ434" s="226">
        <f t="shared" si="293"/>
        <v>-0.13532005374755421</v>
      </c>
      <c r="AK434" s="226"/>
      <c r="AL434" s="226">
        <f t="shared" si="294"/>
        <v>203.99019089243092</v>
      </c>
      <c r="AM434" s="228">
        <f t="shared" si="295"/>
        <v>40666.710441114017</v>
      </c>
      <c r="AN434" s="226"/>
      <c r="AO434" s="227">
        <v>1.9710526315789001</v>
      </c>
      <c r="AP434" s="225"/>
      <c r="AQ434" s="226">
        <f t="shared" si="296"/>
        <v>392.94157371950928</v>
      </c>
      <c r="AR434" s="226">
        <f t="shared" si="297"/>
        <v>4.1808576409921728E-4</v>
      </c>
      <c r="AS434" s="228">
        <f>AR434*'DADOS BASE'!W$38</f>
        <v>125415.17996331275</v>
      </c>
      <c r="AT434" s="225"/>
      <c r="AU434" s="227">
        <v>0</v>
      </c>
      <c r="AV434" s="227">
        <v>0</v>
      </c>
      <c r="AW434" s="226">
        <f t="shared" si="298"/>
        <v>0</v>
      </c>
      <c r="AX434" s="226">
        <f>IF($AW$11&gt;0,(AW434/$AW$11)*'DADOS BASE'!W$40,0)</f>
        <v>0</v>
      </c>
      <c r="AY434" s="226">
        <f t="shared" si="299"/>
        <v>0</v>
      </c>
      <c r="AZ434" s="226">
        <f t="shared" si="300"/>
        <v>0</v>
      </c>
      <c r="BA434" s="226">
        <f>AZ434*'DADOS BASE'!W$41</f>
        <v>0</v>
      </c>
      <c r="BB434" s="225"/>
      <c r="BC434" s="227">
        <v>0</v>
      </c>
      <c r="BD434" s="226">
        <f>IF($BC$11&gt;0,(BC434/$BC$11)*'DADOS BASE'!W$39,0)</f>
        <v>0</v>
      </c>
      <c r="BE434" s="187"/>
    </row>
    <row r="435" spans="2:57" x14ac:dyDescent="0.3">
      <c r="B435" s="184" t="s">
        <v>532</v>
      </c>
      <c r="C435" s="184" t="s">
        <v>546</v>
      </c>
      <c r="D435" s="184" t="s">
        <v>94</v>
      </c>
      <c r="E435" s="184">
        <v>2015</v>
      </c>
      <c r="F435" s="185"/>
      <c r="H435" s="186">
        <f ca="1">IF(AND(E435&gt;=2018,SUMIF('DADOS BASE'!$C$101:$D$104,D435,'DADOS BASE'!$H$101:$H$104)&gt;J435),
SUMIF('DADOS BASE'!$C$101:$D$104,D435,'DADOS BASE'!$H$101:$H$104),
J435)</f>
        <v>651190.74079520779</v>
      </c>
      <c r="J435" s="186">
        <f t="shared" si="289"/>
        <v>651190.74079520779</v>
      </c>
      <c r="K435" s="186"/>
      <c r="L435" s="188">
        <v>661.28450095492997</v>
      </c>
      <c r="M435" s="186">
        <f t="shared" si="290"/>
        <v>5.1590352121172662E-4</v>
      </c>
      <c r="N435" s="186">
        <f>L435*'DADOS BASE'!$I$29</f>
        <v>651190.74079520779</v>
      </c>
      <c r="O435" s="187"/>
      <c r="P435" s="188">
        <v>0</v>
      </c>
      <c r="Q435" s="186">
        <f>P435*'DADOS BASE'!$I$33</f>
        <v>0</v>
      </c>
      <c r="R435" s="186"/>
      <c r="S435" s="188">
        <v>0</v>
      </c>
      <c r="T435" s="186">
        <f>S435*'DADOS BASE'!$I$37</f>
        <v>0</v>
      </c>
      <c r="U435" s="186"/>
      <c r="V435" s="186">
        <f t="shared" si="291"/>
        <v>0</v>
      </c>
      <c r="W435" s="187"/>
      <c r="X435" s="186"/>
      <c r="Y435" s="186"/>
      <c r="Z435" s="185"/>
      <c r="AA435" s="186"/>
      <c r="AB435" s="186"/>
      <c r="AC435" s="186"/>
      <c r="AD435" s="186"/>
      <c r="AE435" s="188">
        <v>1066</v>
      </c>
      <c r="AF435" s="188">
        <v>522.91728911076996</v>
      </c>
      <c r="AG435" s="186" t="s">
        <v>155</v>
      </c>
      <c r="AH435" s="189">
        <v>0.73199999999999998</v>
      </c>
      <c r="AI435" s="183">
        <f t="shared" si="292"/>
        <v>382.77545562908358</v>
      </c>
      <c r="AJ435" s="186">
        <f t="shared" si="293"/>
        <v>1.3047293191223773E-2</v>
      </c>
      <c r="AK435" s="186"/>
      <c r="AL435" s="186">
        <f t="shared" si="294"/>
        <v>177.3320839345364</v>
      </c>
      <c r="AM435" s="187">
        <f t="shared" si="295"/>
        <v>92730.012603411291</v>
      </c>
      <c r="AN435" s="186"/>
      <c r="AO435" s="188">
        <v>2.0106837606838002</v>
      </c>
      <c r="AQ435" s="186">
        <f t="shared" si="296"/>
        <v>1051.4213013958208</v>
      </c>
      <c r="AR435" s="186">
        <f t="shared" si="297"/>
        <v>1.1187013733956553E-3</v>
      </c>
      <c r="AS435" s="187">
        <f>AR435*'DADOS BASE'!W$38</f>
        <v>335582.18460728478</v>
      </c>
      <c r="AU435" s="188">
        <v>0</v>
      </c>
      <c r="AV435" s="188">
        <v>0</v>
      </c>
      <c r="AW435" s="186">
        <f t="shared" si="298"/>
        <v>0</v>
      </c>
      <c r="AX435" s="186">
        <f>IF($AW$11&gt;0,(AW435/$AW$11)*'DADOS BASE'!W$40,0)</f>
        <v>0</v>
      </c>
      <c r="AY435" s="186">
        <f t="shared" si="299"/>
        <v>0</v>
      </c>
      <c r="AZ435" s="186">
        <f t="shared" si="300"/>
        <v>0</v>
      </c>
      <c r="BA435" s="186">
        <f>AZ435*'DADOS BASE'!W$41</f>
        <v>0</v>
      </c>
      <c r="BC435" s="188">
        <v>0</v>
      </c>
      <c r="BD435" s="186">
        <f>IF($BC$11&gt;0,(BC435/$BC$11)*'DADOS BASE'!W$39,0)</f>
        <v>0</v>
      </c>
      <c r="BE435" s="187"/>
    </row>
    <row r="436" spans="2:57" x14ac:dyDescent="0.3">
      <c r="B436" s="223" t="s">
        <v>532</v>
      </c>
      <c r="C436" s="223" t="s">
        <v>547</v>
      </c>
      <c r="D436" s="223" t="s">
        <v>94</v>
      </c>
      <c r="E436" s="223">
        <v>2009</v>
      </c>
      <c r="F436" s="224"/>
      <c r="G436" s="225"/>
      <c r="H436" s="226">
        <f ca="1">IF(AND(E436&gt;=2018,SUMIF('DADOS BASE'!$C$101:$D$104,D436,'DADOS BASE'!$H$101:$H$104)&gt;J436),
SUMIF('DADOS BASE'!$C$101:$D$104,D436,'DADOS BASE'!$H$101:$H$104),
J436)</f>
        <v>2173310.440783768</v>
      </c>
      <c r="I436" s="225"/>
      <c r="J436" s="226">
        <f t="shared" si="289"/>
        <v>2173310.440783768</v>
      </c>
      <c r="K436" s="226"/>
      <c r="L436" s="227">
        <v>2201.5217661212</v>
      </c>
      <c r="M436" s="226">
        <f t="shared" si="290"/>
        <v>1.7175252550544735E-3</v>
      </c>
      <c r="N436" s="226">
        <f>L436*'DADOS BASE'!$I$29</f>
        <v>2167918.025731782</v>
      </c>
      <c r="O436" s="228"/>
      <c r="P436" s="227">
        <v>0</v>
      </c>
      <c r="Q436" s="226">
        <f>P436*'DADOS BASE'!$I$33</f>
        <v>0</v>
      </c>
      <c r="R436" s="226"/>
      <c r="S436" s="227">
        <v>6.8449999999999998</v>
      </c>
      <c r="T436" s="226">
        <f>S436*'DADOS BASE'!$I$37</f>
        <v>5392.415051986216</v>
      </c>
      <c r="U436" s="226"/>
      <c r="V436" s="226">
        <f t="shared" si="291"/>
        <v>5392.415051986216</v>
      </c>
      <c r="W436" s="228"/>
      <c r="X436" s="226"/>
      <c r="Y436" s="226"/>
      <c r="Z436" s="224"/>
      <c r="AA436" s="226"/>
      <c r="AB436" s="226"/>
      <c r="AC436" s="226"/>
      <c r="AD436" s="226"/>
      <c r="AE436" s="227">
        <v>1429</v>
      </c>
      <c r="AF436" s="227">
        <v>917.26770200648002</v>
      </c>
      <c r="AG436" s="226" t="s">
        <v>155</v>
      </c>
      <c r="AH436" s="229">
        <v>0.61</v>
      </c>
      <c r="AI436" s="225">
        <f t="shared" si="292"/>
        <v>559.53329822395278</v>
      </c>
      <c r="AJ436" s="226">
        <f t="shared" si="293"/>
        <v>-0.15150558250451185</v>
      </c>
      <c r="AK436" s="226"/>
      <c r="AL436" s="226">
        <f t="shared" si="294"/>
        <v>206.89834801511032</v>
      </c>
      <c r="AM436" s="228">
        <f t="shared" si="295"/>
        <v>189781.17223275721</v>
      </c>
      <c r="AN436" s="226"/>
      <c r="AO436" s="227">
        <v>1.8524137931033999</v>
      </c>
      <c r="AP436" s="225"/>
      <c r="AQ436" s="226">
        <f t="shared" si="296"/>
        <v>1699.1593431650629</v>
      </c>
      <c r="AR436" s="226">
        <f t="shared" si="297"/>
        <v>1.8078879401561751E-3</v>
      </c>
      <c r="AS436" s="228">
        <f>AR436*'DADOS BASE'!W$38</f>
        <v>542320.76487153943</v>
      </c>
      <c r="AT436" s="225"/>
      <c r="AU436" s="227">
        <v>6.8449999999999998</v>
      </c>
      <c r="AV436" s="227">
        <v>26</v>
      </c>
      <c r="AW436" s="226">
        <f t="shared" si="298"/>
        <v>1.7112499999999999</v>
      </c>
      <c r="AX436" s="226">
        <f>IF($AW$11&gt;0,(AW436/$AW$11)*'DADOS BASE'!W$40,0)</f>
        <v>307.47119546810382</v>
      </c>
      <c r="AY436" s="226">
        <f t="shared" si="299"/>
        <v>3.1699431034481931</v>
      </c>
      <c r="AZ436" s="226">
        <f t="shared" si="300"/>
        <v>1.6578902435698958E-4</v>
      </c>
      <c r="BA436" s="226">
        <f>AZ436*'DADOS BASE'!W$41</f>
        <v>1224.825068625466</v>
      </c>
      <c r="BB436" s="225"/>
      <c r="BC436" s="227">
        <v>0</v>
      </c>
      <c r="BD436" s="226">
        <f>IF($BC$11&gt;0,(BC436/$BC$11)*'DADOS BASE'!W$39,0)</f>
        <v>0</v>
      </c>
      <c r="BE436" s="187"/>
    </row>
    <row r="437" spans="2:57" x14ac:dyDescent="0.3">
      <c r="B437" s="184" t="s">
        <v>532</v>
      </c>
      <c r="C437" s="184" t="s">
        <v>548</v>
      </c>
      <c r="D437" s="184" t="s">
        <v>94</v>
      </c>
      <c r="E437" s="184">
        <v>2009</v>
      </c>
      <c r="F437" s="185"/>
      <c r="H437" s="186">
        <f ca="1">IF(AND(E437&gt;=2018,SUMIF('DADOS BASE'!$C$101:$D$104,D437,'DADOS BASE'!$H$101:$H$104)&gt;J437),
SUMIF('DADOS BASE'!$C$101:$D$104,D437,'DADOS BASE'!$H$101:$H$104),
J437)</f>
        <v>9850192.301007919</v>
      </c>
      <c r="J437" s="186">
        <f t="shared" si="289"/>
        <v>9850192.301007919</v>
      </c>
      <c r="K437" s="186"/>
      <c r="L437" s="188">
        <v>9718.4034020387007</v>
      </c>
      <c r="M437" s="186">
        <f t="shared" si="290"/>
        <v>7.5818479465761786E-3</v>
      </c>
      <c r="N437" s="186">
        <f>L437*'DADOS BASE'!$I$29</f>
        <v>9570062.9631898366</v>
      </c>
      <c r="O437" s="187"/>
      <c r="P437" s="188">
        <v>908.72815056467005</v>
      </c>
      <c r="Q437" s="186">
        <f>P437*'DADOS BASE'!$I$33</f>
        <v>223714.36072263165</v>
      </c>
      <c r="R437" s="186"/>
      <c r="S437" s="188">
        <v>71.611794436357997</v>
      </c>
      <c r="T437" s="186">
        <f>S437*'DADOS BASE'!$I$37</f>
        <v>56414.977095450646</v>
      </c>
      <c r="U437" s="186"/>
      <c r="V437" s="186">
        <f t="shared" si="291"/>
        <v>280129.33781808231</v>
      </c>
      <c r="W437" s="187"/>
      <c r="X437" s="186"/>
      <c r="Y437" s="186"/>
      <c r="Z437" s="185"/>
      <c r="AA437" s="186"/>
      <c r="AB437" s="186"/>
      <c r="AC437" s="186"/>
      <c r="AD437" s="186"/>
      <c r="AE437" s="188">
        <v>7338</v>
      </c>
      <c r="AF437" s="188">
        <v>4205.6483450665</v>
      </c>
      <c r="AG437" s="186" t="s">
        <v>155</v>
      </c>
      <c r="AH437" s="189">
        <v>0.77200000000000002</v>
      </c>
      <c r="AI437" s="183">
        <f t="shared" si="292"/>
        <v>3246.7605223913383</v>
      </c>
      <c r="AJ437" s="186">
        <f t="shared" si="293"/>
        <v>6.699905571441582E-2</v>
      </c>
      <c r="AK437" s="186"/>
      <c r="AL437" s="186">
        <f t="shared" si="294"/>
        <v>167.63822685893837</v>
      </c>
      <c r="AM437" s="187">
        <f t="shared" si="295"/>
        <v>705027.43135917664</v>
      </c>
      <c r="AN437" s="186"/>
      <c r="AO437" s="188">
        <v>1.9757882882883</v>
      </c>
      <c r="AQ437" s="186">
        <f t="shared" si="296"/>
        <v>8309.4707448414611</v>
      </c>
      <c r="AR437" s="186">
        <f t="shared" si="297"/>
        <v>8.8411907977367817E-3</v>
      </c>
      <c r="AS437" s="187">
        <f>AR437*'DADOS BASE'!W$38</f>
        <v>2652134.1557207522</v>
      </c>
      <c r="AU437" s="188">
        <v>37.542471292252998</v>
      </c>
      <c r="AV437" s="188">
        <v>341.5</v>
      </c>
      <c r="AW437" s="186">
        <f t="shared" si="298"/>
        <v>9.3856178230632494</v>
      </c>
      <c r="AX437" s="186">
        <f>IF($AW$11&gt;0,(AW437/$AW$11)*'DADOS BASE'!W$40,0)</f>
        <v>1686.3737807240316</v>
      </c>
      <c r="AY437" s="186">
        <f t="shared" si="299"/>
        <v>18.543993773158299</v>
      </c>
      <c r="AZ437" s="186">
        <f t="shared" si="300"/>
        <v>9.6985672455437793E-4</v>
      </c>
      <c r="BA437" s="186">
        <f>AZ437*'DADOS BASE'!W$41</f>
        <v>7165.159658888505</v>
      </c>
      <c r="BC437" s="188">
        <v>0</v>
      </c>
      <c r="BD437" s="186">
        <f>IF($BC$11&gt;0,(BC437/$BC$11)*'DADOS BASE'!W$39,0)</f>
        <v>0</v>
      </c>
      <c r="BE437" s="187"/>
    </row>
    <row r="438" spans="2:57" x14ac:dyDescent="0.3">
      <c r="B438" s="223" t="s">
        <v>532</v>
      </c>
      <c r="C438" s="223" t="s">
        <v>549</v>
      </c>
      <c r="D438" s="223" t="s">
        <v>92</v>
      </c>
      <c r="E438" s="223">
        <v>2009</v>
      </c>
      <c r="F438" s="224"/>
      <c r="G438" s="225"/>
      <c r="H438" s="226">
        <f ca="1">IF(AND(E438&gt;=2018,SUMIF('DADOS BASE'!$C$101:$D$104,D438,'DADOS BASE'!$H$101:$H$104)&gt;J438),
SUMIF('DADOS BASE'!$C$101:$D$104,D438,'DADOS BASE'!$H$101:$H$104),
J438)</f>
        <v>4632360.6666006455</v>
      </c>
      <c r="I438" s="225"/>
      <c r="J438" s="226">
        <f t="shared" si="289"/>
        <v>4632360.6666006455</v>
      </c>
      <c r="K438" s="226"/>
      <c r="L438" s="227">
        <v>4704.1644171958997</v>
      </c>
      <c r="M438" s="226">
        <f t="shared" si="290"/>
        <v>3.6699710694651226E-3</v>
      </c>
      <c r="N438" s="226">
        <f>L438*'DADOS BASE'!$I$29</f>
        <v>4632360.6666006455</v>
      </c>
      <c r="O438" s="228"/>
      <c r="P438" s="227">
        <v>0</v>
      </c>
      <c r="Q438" s="226">
        <f>P438*'DADOS BASE'!$I$33</f>
        <v>0</v>
      </c>
      <c r="R438" s="226"/>
      <c r="S438" s="227">
        <v>0</v>
      </c>
      <c r="T438" s="226">
        <f>S438*'DADOS BASE'!$I$37</f>
        <v>0</v>
      </c>
      <c r="U438" s="226"/>
      <c r="V438" s="226">
        <f t="shared" si="291"/>
        <v>0</v>
      </c>
      <c r="W438" s="228"/>
      <c r="X438" s="226"/>
      <c r="Y438" s="226"/>
      <c r="Z438" s="224"/>
      <c r="AA438" s="226"/>
      <c r="AB438" s="226"/>
      <c r="AC438" s="226"/>
      <c r="AD438" s="226"/>
      <c r="AE438" s="227">
        <v>1680</v>
      </c>
      <c r="AF438" s="227">
        <v>1321.5044828415</v>
      </c>
      <c r="AG438" s="226" t="s">
        <v>155</v>
      </c>
      <c r="AH438" s="229">
        <v>0.64</v>
      </c>
      <c r="AI438" s="225">
        <f t="shared" si="292"/>
        <v>845.76286901856008</v>
      </c>
      <c r="AJ438" s="226">
        <f t="shared" si="293"/>
        <v>-0.1110417606121178</v>
      </c>
      <c r="AK438" s="226"/>
      <c r="AL438" s="226">
        <f t="shared" si="294"/>
        <v>199.62795520841181</v>
      </c>
      <c r="AM438" s="228">
        <f t="shared" si="295"/>
        <v>263809.23770839837</v>
      </c>
      <c r="AN438" s="226"/>
      <c r="AO438" s="227">
        <v>1.6090534979424</v>
      </c>
      <c r="AP438" s="225"/>
      <c r="AQ438" s="226">
        <f t="shared" si="296"/>
        <v>2126.371410662678</v>
      </c>
      <c r="AR438" s="226">
        <f t="shared" si="297"/>
        <v>2.2624371546397606E-3</v>
      </c>
      <c r="AS438" s="228">
        <f>AR438*'DADOS BASE'!W$38</f>
        <v>678674.05989335384</v>
      </c>
      <c r="AT438" s="225"/>
      <c r="AU438" s="227">
        <v>0</v>
      </c>
      <c r="AV438" s="227">
        <v>0</v>
      </c>
      <c r="AW438" s="226">
        <f t="shared" si="298"/>
        <v>0</v>
      </c>
      <c r="AX438" s="226">
        <f>IF($AW$11&gt;0,(AW438/$AW$11)*'DADOS BASE'!W$40,0)</f>
        <v>0</v>
      </c>
      <c r="AY438" s="226">
        <f t="shared" si="299"/>
        <v>0</v>
      </c>
      <c r="AZ438" s="226">
        <f t="shared" si="300"/>
        <v>0</v>
      </c>
      <c r="BA438" s="226">
        <f>AZ438*'DADOS BASE'!W$41</f>
        <v>0</v>
      </c>
      <c r="BB438" s="225"/>
      <c r="BC438" s="227">
        <v>91</v>
      </c>
      <c r="BD438" s="226">
        <f>IF($BC$11&gt;0,(BC438/$BC$11)*'DADOS BASE'!W$39,0)</f>
        <v>491691.56513877294</v>
      </c>
      <c r="BE438" s="187"/>
    </row>
    <row r="439" spans="2:57" x14ac:dyDescent="0.3">
      <c r="F439" s="185"/>
      <c r="H439" s="186"/>
      <c r="J439" s="186"/>
      <c r="K439" s="186"/>
      <c r="L439" s="186"/>
      <c r="M439" s="186"/>
      <c r="N439" s="186"/>
      <c r="O439" s="187"/>
      <c r="P439" s="186"/>
      <c r="Q439" s="186"/>
      <c r="R439" s="186"/>
      <c r="S439" s="186"/>
      <c r="T439" s="186"/>
      <c r="U439" s="186"/>
      <c r="V439" s="186"/>
      <c r="W439" s="187"/>
      <c r="X439" s="186"/>
      <c r="Y439" s="186"/>
      <c r="Z439" s="185"/>
      <c r="AA439" s="186"/>
      <c r="AB439" s="186"/>
      <c r="AC439" s="186"/>
      <c r="AD439" s="186"/>
      <c r="AE439" s="186"/>
      <c r="AF439" s="186"/>
      <c r="AG439" s="186"/>
      <c r="AH439" s="185"/>
      <c r="AJ439" s="186"/>
      <c r="AK439" s="186"/>
      <c r="AL439" s="186"/>
      <c r="AM439" s="187"/>
      <c r="AN439" s="186"/>
      <c r="AO439" s="186"/>
      <c r="AQ439" s="186"/>
      <c r="AR439" s="186"/>
      <c r="AS439" s="187"/>
      <c r="AU439" s="186"/>
      <c r="AV439" s="186"/>
      <c r="AW439" s="186"/>
      <c r="AX439" s="186"/>
      <c r="AY439" s="186"/>
      <c r="AZ439" s="186"/>
      <c r="BA439" s="186"/>
      <c r="BC439" s="186"/>
      <c r="BD439" s="186"/>
      <c r="BE439" s="187"/>
    </row>
    <row r="440" spans="2:57" x14ac:dyDescent="0.3">
      <c r="B440" s="209" t="s">
        <v>532</v>
      </c>
      <c r="C440" s="209" t="s">
        <v>550</v>
      </c>
      <c r="D440" s="211" t="s">
        <v>154</v>
      </c>
      <c r="E440" s="211"/>
      <c r="F440" s="210"/>
      <c r="G440" s="211"/>
      <c r="H440" s="212">
        <f ca="1">SUM(H441:H448)</f>
        <v>17574638.145205166</v>
      </c>
      <c r="I440" s="211"/>
      <c r="J440" s="212">
        <f>SUM(J441:J448)</f>
        <v>17574638.145205166</v>
      </c>
      <c r="K440" s="212"/>
      <c r="L440" s="212">
        <f>SUM(L441:L448)</f>
        <v>17737.909765308999</v>
      </c>
      <c r="M440" s="212">
        <f>SUM(M441:M448)</f>
        <v>1.3838295156841238E-2</v>
      </c>
      <c r="N440" s="212">
        <f>SUM(N441:N448)</f>
        <v>17467160.629880488</v>
      </c>
      <c r="O440" s="214"/>
      <c r="P440" s="212">
        <f>SUM(P441:P448)</f>
        <v>0</v>
      </c>
      <c r="Q440" s="212">
        <f>SUM(Q441:Q448)</f>
        <v>0</v>
      </c>
      <c r="R440" s="212"/>
      <c r="S440" s="212">
        <f>SUM(S441:S448)</f>
        <v>136.42933366682601</v>
      </c>
      <c r="T440" s="212">
        <f>SUM(T441:T448)</f>
        <v>107477.51532468114</v>
      </c>
      <c r="U440" s="212"/>
      <c r="V440" s="212">
        <f>SUM(V441:V448)</f>
        <v>107477.51532468114</v>
      </c>
      <c r="W440" s="214"/>
      <c r="X440" s="212">
        <f>SUMIF(INDICADORES!$D$13:$D$53,C440,INDICADORES!$L$13:$L$53)</f>
        <v>6.3464616177038684E-3</v>
      </c>
      <c r="Y440" s="212">
        <f>X440*'DADOS BASE'!$I$79</f>
        <v>263525.49997029122</v>
      </c>
      <c r="Z440" s="210">
        <f>SUMIF(INDICADORES!$D$13:$D$53,C440,INDICADORES!$R$13:$R$53)</f>
        <v>3.2437388962118167E-2</v>
      </c>
      <c r="AA440" s="212">
        <f>Z440*'DADOS BASE'!$I$84</f>
        <v>1346904.7256391768</v>
      </c>
      <c r="AB440" s="212">
        <f>SUMIF(INDICADORES!$D$13:$D$53,C440,INDICADORES!$Z$13:$Z$53)</f>
        <v>4.2355720607244095E-2</v>
      </c>
      <c r="AC440" s="212">
        <f>AB440*'DADOS BASE'!$I$89</f>
        <v>3517491.5163716935</v>
      </c>
      <c r="AD440" s="212"/>
      <c r="AE440" s="212">
        <f>SUM(AE441:AE448)</f>
        <v>9710</v>
      </c>
      <c r="AF440" s="212">
        <f>SUM(AF441:AF448)</f>
        <v>6550.4979850192203</v>
      </c>
      <c r="AG440" s="212" t="s">
        <v>155</v>
      </c>
      <c r="AH440" s="210"/>
      <c r="AI440" s="211"/>
      <c r="AJ440" s="212"/>
      <c r="AK440" s="212"/>
      <c r="AL440" s="212"/>
      <c r="AM440" s="214">
        <f>SUM(AM441:AM448)</f>
        <v>1278928.880571231</v>
      </c>
      <c r="AN440" s="212"/>
      <c r="AO440" s="212"/>
      <c r="AP440" s="211"/>
      <c r="AQ440" s="212">
        <f>SUM(AQ441:AQ448)</f>
        <v>14494.686783644167</v>
      </c>
      <c r="AR440" s="212"/>
      <c r="AS440" s="214">
        <f>SUM(AS441:AS448)</f>
        <v>4626269.8402592801</v>
      </c>
      <c r="AT440" s="211"/>
      <c r="AU440" s="212">
        <f t="shared" ref="AU440:BA440" si="301">SUM(AU441:AU448)</f>
        <v>88.823965412668002</v>
      </c>
      <c r="AV440" s="212">
        <f t="shared" si="301"/>
        <v>118.25</v>
      </c>
      <c r="AW440" s="212">
        <f t="shared" si="301"/>
        <v>22.205991353167001</v>
      </c>
      <c r="AX440" s="212">
        <f t="shared" si="301"/>
        <v>3989.8920133894135</v>
      </c>
      <c r="AY440" s="212">
        <f t="shared" si="301"/>
        <v>48.735464170385363</v>
      </c>
      <c r="AZ440" s="212">
        <f t="shared" si="301"/>
        <v>2.5488801510677533E-3</v>
      </c>
      <c r="BA440" s="212">
        <f t="shared" si="301"/>
        <v>18830.753833421841</v>
      </c>
      <c r="BB440" s="211"/>
      <c r="BC440" s="212">
        <f>SUM(BC441:BC448)</f>
        <v>94</v>
      </c>
      <c r="BD440" s="212">
        <f>SUM(BD441:BD448)</f>
        <v>507901.17717631493</v>
      </c>
      <c r="BE440" s="187"/>
    </row>
    <row r="441" spans="2:57" x14ac:dyDescent="0.3">
      <c r="B441" s="216" t="s">
        <v>532</v>
      </c>
      <c r="C441" s="218" t="s">
        <v>156</v>
      </c>
      <c r="D441" s="218" t="s">
        <v>157</v>
      </c>
      <c r="E441" s="218"/>
      <c r="F441" s="217"/>
      <c r="G441" s="218"/>
      <c r="H441" s="219"/>
      <c r="I441" s="218"/>
      <c r="J441" s="219"/>
      <c r="K441" s="219"/>
      <c r="L441" s="219">
        <v>0</v>
      </c>
      <c r="M441" s="219">
        <v>0</v>
      </c>
      <c r="N441" s="219">
        <v>0</v>
      </c>
      <c r="O441" s="221"/>
      <c r="P441" s="219"/>
      <c r="Q441" s="219"/>
      <c r="R441" s="219"/>
      <c r="S441" s="219"/>
      <c r="T441" s="219"/>
      <c r="U441" s="219"/>
      <c r="V441" s="219"/>
      <c r="W441" s="221"/>
      <c r="X441" s="219"/>
      <c r="Y441" s="219"/>
      <c r="Z441" s="217"/>
      <c r="AA441" s="219"/>
      <c r="AB441" s="219"/>
      <c r="AC441" s="219"/>
      <c r="AD441" s="219"/>
      <c r="AE441" s="219"/>
      <c r="AF441" s="219"/>
      <c r="AG441" s="219" t="s">
        <v>155</v>
      </c>
      <c r="AH441" s="217"/>
      <c r="AI441" s="218"/>
      <c r="AJ441" s="219"/>
      <c r="AK441" s="219"/>
      <c r="AL441" s="219"/>
      <c r="AM441" s="221"/>
      <c r="AN441" s="219"/>
      <c r="AO441" s="219"/>
      <c r="AP441" s="218"/>
      <c r="AQ441" s="219"/>
      <c r="AR441" s="219"/>
      <c r="AS441" s="221"/>
      <c r="AT441" s="218"/>
      <c r="AU441" s="219"/>
      <c r="AV441" s="219"/>
      <c r="AW441" s="219"/>
      <c r="AX441" s="219"/>
      <c r="AY441" s="219"/>
      <c r="AZ441" s="219"/>
      <c r="BA441" s="219"/>
      <c r="BB441" s="218"/>
      <c r="BC441" s="219"/>
      <c r="BD441" s="219"/>
      <c r="BE441" s="187"/>
    </row>
    <row r="442" spans="2:57" x14ac:dyDescent="0.3">
      <c r="B442" s="223" t="s">
        <v>532</v>
      </c>
      <c r="C442" s="223" t="s">
        <v>551</v>
      </c>
      <c r="D442" s="223" t="s">
        <v>92</v>
      </c>
      <c r="E442" s="223">
        <v>2010</v>
      </c>
      <c r="F442" s="224"/>
      <c r="G442" s="225"/>
      <c r="H442" s="226">
        <f ca="1">IF(AND(E442&gt;=2018,SUMIF('DADOS BASE'!$C$101:$D$104,D442,'DADOS BASE'!$H$101:$H$104)&gt;J442),
SUMIF('DADOS BASE'!$C$101:$D$104,D442,'DADOS BASE'!$H$101:$H$104),
J442)</f>
        <v>2029591.4448723791</v>
      </c>
      <c r="I442" s="225"/>
      <c r="J442" s="226">
        <f t="shared" ref="J442:J448" si="302">N442+Q442+T442</f>
        <v>2029591.4448723791</v>
      </c>
      <c r="K442" s="226"/>
      <c r="L442" s="227">
        <v>2057.4273285651998</v>
      </c>
      <c r="M442" s="226">
        <f t="shared" ref="M442:M448" si="303">L442/$L$11</f>
        <v>1.6051094527563482E-3</v>
      </c>
      <c r="N442" s="226">
        <f>L442*'DADOS BASE'!$I$29</f>
        <v>2026023.0268303093</v>
      </c>
      <c r="O442" s="228"/>
      <c r="P442" s="227">
        <v>0</v>
      </c>
      <c r="Q442" s="226">
        <f>P442*'DADOS BASE'!$I$33</f>
        <v>0</v>
      </c>
      <c r="R442" s="226"/>
      <c r="S442" s="227">
        <v>4.5296627322800003</v>
      </c>
      <c r="T442" s="226">
        <f>S442*'DADOS BASE'!$I$37</f>
        <v>3568.4180420697862</v>
      </c>
      <c r="U442" s="226"/>
      <c r="V442" s="226">
        <f t="shared" ref="V442:V448" si="304">T442+Q442</f>
        <v>3568.4180420697862</v>
      </c>
      <c r="W442" s="228"/>
      <c r="X442" s="226"/>
      <c r="Y442" s="226"/>
      <c r="Z442" s="224"/>
      <c r="AA442" s="226"/>
      <c r="AB442" s="226"/>
      <c r="AC442" s="226"/>
      <c r="AD442" s="226"/>
      <c r="AE442" s="227">
        <v>1154</v>
      </c>
      <c r="AF442" s="227">
        <v>758.09662584975001</v>
      </c>
      <c r="AG442" s="226" t="s">
        <v>155</v>
      </c>
      <c r="AH442" s="229">
        <v>0.626</v>
      </c>
      <c r="AI442" s="225">
        <f t="shared" ref="AI442:AI448" si="305">AF442*AH442</f>
        <v>474.56848778194353</v>
      </c>
      <c r="AJ442" s="226">
        <f t="shared" ref="AJ442:AJ448" si="306">(AH442-$AI$12)*$AJ$12</f>
        <v>-0.12992487749523501</v>
      </c>
      <c r="AK442" s="226"/>
      <c r="AL442" s="226">
        <f t="shared" ref="AL442:AL448" si="307">$AL$11-(AJ442*$AL$11)</f>
        <v>203.02080518487111</v>
      </c>
      <c r="AM442" s="228">
        <f t="shared" ref="AM442:AM448" si="308">AF442*AL442</f>
        <v>153909.38738795021</v>
      </c>
      <c r="AN442" s="226"/>
      <c r="AO442" s="227">
        <v>2.2719665271967</v>
      </c>
      <c r="AP442" s="225"/>
      <c r="AQ442" s="226">
        <f t="shared" ref="AQ442:AQ448" si="309">AF442*AO442</f>
        <v>1722.3701583113925</v>
      </c>
      <c r="AR442" s="226">
        <f t="shared" ref="AR442:AR448" si="310">AQ442/$AQ$11</f>
        <v>1.8325840070395076E-3</v>
      </c>
      <c r="AS442" s="228">
        <f>AR442*'DADOS BASE'!W$38</f>
        <v>549728.96179791004</v>
      </c>
      <c r="AT442" s="225"/>
      <c r="AU442" s="227">
        <v>4.5296627322800003</v>
      </c>
      <c r="AV442" s="227">
        <v>17.75</v>
      </c>
      <c r="AW442" s="226">
        <f t="shared" ref="AW442:AW448" si="311">AU442/4</f>
        <v>1.1324156830700001</v>
      </c>
      <c r="AX442" s="226">
        <f>IF($AW$11&gt;0,(AW442/$AW$11)*'DADOS BASE'!W$40,0)</f>
        <v>203.46834409955432</v>
      </c>
      <c r="AY442" s="226">
        <f t="shared" ref="AY442:AY448" si="312">AO442*AW442</f>
        <v>2.5728105268076269</v>
      </c>
      <c r="AZ442" s="226">
        <f t="shared" ref="AZ442:AZ448" si="313">IF($AY$11&gt;0,AY442/$AY$11,0)</f>
        <v>1.3455880221662151E-4</v>
      </c>
      <c r="BA442" s="226">
        <f>AZ442*'DADOS BASE'!W$41</f>
        <v>994.10075424685726</v>
      </c>
      <c r="BB442" s="225"/>
      <c r="BC442" s="227">
        <v>0</v>
      </c>
      <c r="BD442" s="226">
        <f>IF($BC$11&gt;0,(BC442/$BC$11)*'DADOS BASE'!W$39,0)</f>
        <v>0</v>
      </c>
      <c r="BE442" s="187"/>
    </row>
    <row r="443" spans="2:57" x14ac:dyDescent="0.3">
      <c r="B443" s="184" t="s">
        <v>532</v>
      </c>
      <c r="C443" s="184" t="s">
        <v>552</v>
      </c>
      <c r="D443" s="184" t="s">
        <v>92</v>
      </c>
      <c r="E443" s="184">
        <v>2009</v>
      </c>
      <c r="F443" s="185"/>
      <c r="H443" s="186">
        <f ca="1">IF(AND(E443&gt;=2018,SUMIF('DADOS BASE'!$C$101:$D$104,D443,'DADOS BASE'!$H$101:$H$104)&gt;J443),
SUMIF('DADOS BASE'!$C$101:$D$104,D443,'DADOS BASE'!$H$101:$H$104),
J443)</f>
        <v>2164821.7593659703</v>
      </c>
      <c r="J443" s="186">
        <f t="shared" si="302"/>
        <v>2164821.7593659703</v>
      </c>
      <c r="K443" s="186"/>
      <c r="L443" s="188">
        <v>2198.3775061828001</v>
      </c>
      <c r="M443" s="186">
        <f t="shared" si="303"/>
        <v>1.7150722491674716E-3</v>
      </c>
      <c r="N443" s="186">
        <f>L443*'DADOS BASE'!$I$29</f>
        <v>2164821.7593659703</v>
      </c>
      <c r="O443" s="187"/>
      <c r="P443" s="188">
        <v>0</v>
      </c>
      <c r="Q443" s="186">
        <f>P443*'DADOS BASE'!$I$33</f>
        <v>0</v>
      </c>
      <c r="R443" s="186"/>
      <c r="S443" s="188">
        <v>0</v>
      </c>
      <c r="T443" s="186">
        <f>S443*'DADOS BASE'!$I$37</f>
        <v>0</v>
      </c>
      <c r="U443" s="186"/>
      <c r="V443" s="186">
        <f t="shared" si="304"/>
        <v>0</v>
      </c>
      <c r="W443" s="187"/>
      <c r="X443" s="186"/>
      <c r="Y443" s="186"/>
      <c r="Z443" s="185"/>
      <c r="AA443" s="186"/>
      <c r="AB443" s="186"/>
      <c r="AC443" s="186"/>
      <c r="AD443" s="186"/>
      <c r="AE443" s="188">
        <v>1199</v>
      </c>
      <c r="AF443" s="188">
        <v>821.09768625844004</v>
      </c>
      <c r="AG443" s="186" t="s">
        <v>155</v>
      </c>
      <c r="AH443" s="189">
        <v>0.57199999999999995</v>
      </c>
      <c r="AI443" s="183">
        <f t="shared" si="305"/>
        <v>469.66787653982766</v>
      </c>
      <c r="AJ443" s="186">
        <f t="shared" si="306"/>
        <v>-0.2027597569015443</v>
      </c>
      <c r="AK443" s="186"/>
      <c r="AL443" s="186">
        <f t="shared" si="307"/>
        <v>216.10751223692841</v>
      </c>
      <c r="AM443" s="187">
        <f t="shared" si="308"/>
        <v>177445.37828080944</v>
      </c>
      <c r="AN443" s="186"/>
      <c r="AO443" s="188">
        <v>2.2844574780058999</v>
      </c>
      <c r="AQ443" s="186">
        <f t="shared" si="309"/>
        <v>1875.7627495464355</v>
      </c>
      <c r="AR443" s="186">
        <f t="shared" si="310"/>
        <v>1.9957921351757284E-3</v>
      </c>
      <c r="AS443" s="187">
        <f>AR443*'DADOS BASE'!W$38</f>
        <v>598687.28212192387</v>
      </c>
      <c r="AU443" s="188">
        <v>0</v>
      </c>
      <c r="AV443" s="188">
        <v>0</v>
      </c>
      <c r="AW443" s="186">
        <f t="shared" si="311"/>
        <v>0</v>
      </c>
      <c r="AX443" s="186">
        <f>IF($AW$11&gt;0,(AW443/$AW$11)*'DADOS BASE'!W$40,0)</f>
        <v>0</v>
      </c>
      <c r="AY443" s="186">
        <f t="shared" si="312"/>
        <v>0</v>
      </c>
      <c r="AZ443" s="186">
        <f t="shared" si="313"/>
        <v>0</v>
      </c>
      <c r="BA443" s="186">
        <f>AZ443*'DADOS BASE'!W$41</f>
        <v>0</v>
      </c>
      <c r="BC443" s="188">
        <v>0</v>
      </c>
      <c r="BD443" s="186">
        <f>IF($BC$11&gt;0,(BC443/$BC$11)*'DADOS BASE'!W$39,0)</f>
        <v>0</v>
      </c>
      <c r="BE443" s="187"/>
    </row>
    <row r="444" spans="2:57" x14ac:dyDescent="0.3">
      <c r="B444" s="223" t="s">
        <v>532</v>
      </c>
      <c r="C444" s="223" t="s">
        <v>553</v>
      </c>
      <c r="D444" s="223" t="s">
        <v>94</v>
      </c>
      <c r="E444" s="223">
        <v>2009</v>
      </c>
      <c r="F444" s="224"/>
      <c r="G444" s="225"/>
      <c r="H444" s="226">
        <f ca="1">IF(AND(E444&gt;=2018,SUMIF('DADOS BASE'!$C$101:$D$104,D444,'DADOS BASE'!$H$101:$H$104)&gt;J444),
SUMIF('DADOS BASE'!$C$101:$D$104,D444,'DADOS BASE'!$H$101:$H$104),
J444)</f>
        <v>4605037.2148586493</v>
      </c>
      <c r="I444" s="225"/>
      <c r="J444" s="226">
        <f t="shared" si="302"/>
        <v>4605037.2148586493</v>
      </c>
      <c r="K444" s="226"/>
      <c r="L444" s="227">
        <v>4611.6177024622002</v>
      </c>
      <c r="M444" s="226">
        <f t="shared" si="303"/>
        <v>3.5977704115958604E-3</v>
      </c>
      <c r="N444" s="226">
        <f>L444*'DADOS BASE'!$I$29</f>
        <v>4541226.5728201717</v>
      </c>
      <c r="O444" s="228"/>
      <c r="P444" s="227">
        <v>0</v>
      </c>
      <c r="Q444" s="226">
        <f>P444*'DADOS BASE'!$I$33</f>
        <v>0</v>
      </c>
      <c r="R444" s="226"/>
      <c r="S444" s="227">
        <v>80.999670934546003</v>
      </c>
      <c r="T444" s="226">
        <f>S444*'DADOS BASE'!$I$37</f>
        <v>63810.642038477185</v>
      </c>
      <c r="U444" s="226"/>
      <c r="V444" s="226">
        <f t="shared" si="304"/>
        <v>63810.642038477185</v>
      </c>
      <c r="W444" s="228"/>
      <c r="X444" s="226"/>
      <c r="Y444" s="226"/>
      <c r="Z444" s="224"/>
      <c r="AA444" s="226"/>
      <c r="AB444" s="226"/>
      <c r="AC444" s="226"/>
      <c r="AD444" s="226"/>
      <c r="AE444" s="227">
        <v>2732</v>
      </c>
      <c r="AF444" s="227">
        <v>1907.2831586944001</v>
      </c>
      <c r="AG444" s="226" t="s">
        <v>155</v>
      </c>
      <c r="AH444" s="229">
        <v>0.69699999999999995</v>
      </c>
      <c r="AI444" s="225">
        <f t="shared" si="305"/>
        <v>1329.3763616099968</v>
      </c>
      <c r="AJ444" s="226">
        <f t="shared" si="306"/>
        <v>-3.4160499016569271E-2</v>
      </c>
      <c r="AK444" s="226"/>
      <c r="AL444" s="226">
        <f t="shared" si="307"/>
        <v>185.81420887568467</v>
      </c>
      <c r="AM444" s="228">
        <f t="shared" si="308"/>
        <v>354400.31123471691</v>
      </c>
      <c r="AN444" s="226"/>
      <c r="AO444" s="227">
        <v>2.1992215145081002</v>
      </c>
      <c r="AP444" s="225"/>
      <c r="AQ444" s="226">
        <f t="shared" si="309"/>
        <v>4194.5381568596922</v>
      </c>
      <c r="AR444" s="226">
        <f t="shared" si="310"/>
        <v>4.4629451492089293E-3</v>
      </c>
      <c r="AS444" s="228">
        <f>AR444*'DADOS BASE'!W$38</f>
        <v>1338770.9343808279</v>
      </c>
      <c r="AT444" s="225"/>
      <c r="AU444" s="227">
        <v>33.394302680388002</v>
      </c>
      <c r="AV444" s="227">
        <v>22.5</v>
      </c>
      <c r="AW444" s="226">
        <f t="shared" si="311"/>
        <v>8.3485756700970004</v>
      </c>
      <c r="AX444" s="226">
        <f>IF($AW$11&gt;0,(AW444/$AW$11)*'DADOS BASE'!W$40,0)</f>
        <v>1500.0418067147702</v>
      </c>
      <c r="AY444" s="226">
        <f t="shared" si="312"/>
        <v>18.360367229176202</v>
      </c>
      <c r="AZ444" s="226">
        <f t="shared" si="313"/>
        <v>9.6025299837401766E-4</v>
      </c>
      <c r="BA444" s="226">
        <f>AZ444*'DADOS BASE'!W$41</f>
        <v>7094.2087342205896</v>
      </c>
      <c r="BB444" s="225"/>
      <c r="BC444" s="227">
        <v>0</v>
      </c>
      <c r="BD444" s="226">
        <f>IF($BC$11&gt;0,(BC444/$BC$11)*'DADOS BASE'!W$39,0)</f>
        <v>0</v>
      </c>
      <c r="BE444" s="187"/>
    </row>
    <row r="445" spans="2:57" x14ac:dyDescent="0.3">
      <c r="B445" s="184" t="s">
        <v>532</v>
      </c>
      <c r="C445" s="184" t="s">
        <v>554</v>
      </c>
      <c r="D445" s="184" t="s">
        <v>92</v>
      </c>
      <c r="E445" s="184">
        <v>2009</v>
      </c>
      <c r="F445" s="185"/>
      <c r="H445" s="186">
        <f ca="1">IF(AND(E445&gt;=2018,SUMIF('DADOS BASE'!$C$101:$D$104,D445,'DADOS BASE'!$H$101:$H$104)&gt;J445),
SUMIF('DADOS BASE'!$C$101:$D$104,D445,'DADOS BASE'!$H$101:$H$104),
J445)</f>
        <v>3713825.2955116713</v>
      </c>
      <c r="J445" s="186">
        <f t="shared" si="302"/>
        <v>3713825.2955116713</v>
      </c>
      <c r="K445" s="186"/>
      <c r="L445" s="188">
        <v>3758.5113195037002</v>
      </c>
      <c r="M445" s="186">
        <f t="shared" si="303"/>
        <v>2.932216347798913E-3</v>
      </c>
      <c r="N445" s="186">
        <f>L445*'DADOS BASE'!$I$29</f>
        <v>3701141.8941476131</v>
      </c>
      <c r="O445" s="187"/>
      <c r="P445" s="188">
        <v>0</v>
      </c>
      <c r="Q445" s="186">
        <f>P445*'DADOS BASE'!$I$33</f>
        <v>0</v>
      </c>
      <c r="R445" s="186"/>
      <c r="S445" s="188">
        <v>16.100000000000001</v>
      </c>
      <c r="T445" s="186">
        <f>S445*'DADOS BASE'!$I$37</f>
        <v>12683.401364058158</v>
      </c>
      <c r="U445" s="186"/>
      <c r="V445" s="186">
        <f t="shared" si="304"/>
        <v>12683.401364058158</v>
      </c>
      <c r="W445" s="187"/>
      <c r="X445" s="186"/>
      <c r="Y445" s="186"/>
      <c r="Z445" s="185"/>
      <c r="AA445" s="186"/>
      <c r="AB445" s="186"/>
      <c r="AC445" s="186"/>
      <c r="AD445" s="186"/>
      <c r="AE445" s="188">
        <v>1517</v>
      </c>
      <c r="AF445" s="188">
        <v>1016.4972027019001</v>
      </c>
      <c r="AG445" s="186" t="s">
        <v>155</v>
      </c>
      <c r="AH445" s="189">
        <v>0.69699999999999995</v>
      </c>
      <c r="AI445" s="183">
        <f t="shared" si="305"/>
        <v>708.49855028322429</v>
      </c>
      <c r="AJ445" s="186">
        <f t="shared" si="306"/>
        <v>-3.4160499016569271E-2</v>
      </c>
      <c r="AK445" s="186"/>
      <c r="AL445" s="186">
        <f t="shared" si="307"/>
        <v>185.81420887568467</v>
      </c>
      <c r="AM445" s="187">
        <f t="shared" si="308"/>
        <v>188879.62354440003</v>
      </c>
      <c r="AN445" s="186"/>
      <c r="AO445" s="188">
        <v>2.1506968641115001</v>
      </c>
      <c r="AQ445" s="186">
        <f t="shared" si="309"/>
        <v>2186.1773462290885</v>
      </c>
      <c r="AR445" s="186">
        <f t="shared" si="310"/>
        <v>2.3260700505745636E-3</v>
      </c>
      <c r="AS445" s="187">
        <f>AR445*'DADOS BASE'!W$38</f>
        <v>697762.32306931843</v>
      </c>
      <c r="AU445" s="188">
        <v>16.100000000000001</v>
      </c>
      <c r="AV445" s="188">
        <v>25.75</v>
      </c>
      <c r="AW445" s="186">
        <f t="shared" si="311"/>
        <v>4.0250000000000004</v>
      </c>
      <c r="AX445" s="186">
        <f>IF($AW$11&gt;0,(AW445/$AW$11)*'DADOS BASE'!W$40,0)</f>
        <v>723.19740643337798</v>
      </c>
      <c r="AY445" s="186">
        <f t="shared" si="312"/>
        <v>8.6565548780487891</v>
      </c>
      <c r="AZ445" s="186">
        <f t="shared" si="313"/>
        <v>4.5274055107276552E-4</v>
      </c>
      <c r="BA445" s="186">
        <f>AZ445*'DADOS BASE'!W$41</f>
        <v>3344.7809870886226</v>
      </c>
      <c r="BC445" s="188">
        <v>94</v>
      </c>
      <c r="BD445" s="186">
        <f>IF($BC$11&gt;0,(BC445/$BC$11)*'DADOS BASE'!W$39,0)</f>
        <v>507901.17717631493</v>
      </c>
      <c r="BE445" s="187"/>
    </row>
    <row r="446" spans="2:57" x14ac:dyDescent="0.3">
      <c r="B446" s="223" t="s">
        <v>532</v>
      </c>
      <c r="C446" s="223" t="s">
        <v>555</v>
      </c>
      <c r="D446" s="223" t="s">
        <v>92</v>
      </c>
      <c r="E446" s="223">
        <v>2009</v>
      </c>
      <c r="F446" s="224"/>
      <c r="G446" s="225"/>
      <c r="H446" s="226">
        <f ca="1">IF(AND(E446&gt;=2018,SUMIF('DADOS BASE'!$C$101:$D$104,D446,'DADOS BASE'!$H$101:$H$104)&gt;J446),
SUMIF('DADOS BASE'!$C$101:$D$104,D446,'DADOS BASE'!$H$101:$H$104),
J446)</f>
        <v>2198647.2591778445</v>
      </c>
      <c r="I446" s="225"/>
      <c r="J446" s="226">
        <f t="shared" si="302"/>
        <v>2198647.2591778445</v>
      </c>
      <c r="K446" s="226"/>
      <c r="L446" s="227">
        <v>2222.0873170159998</v>
      </c>
      <c r="M446" s="226">
        <f t="shared" si="303"/>
        <v>1.7335695447769227E-3</v>
      </c>
      <c r="N446" s="226">
        <f>L446*'DADOS BASE'!$I$29</f>
        <v>2188169.6667466662</v>
      </c>
      <c r="O446" s="228"/>
      <c r="P446" s="227">
        <v>0</v>
      </c>
      <c r="Q446" s="226">
        <f>P446*'DADOS BASE'!$I$33</f>
        <v>0</v>
      </c>
      <c r="R446" s="226"/>
      <c r="S446" s="227">
        <v>13.3</v>
      </c>
      <c r="T446" s="226">
        <f>S446*'DADOS BASE'!$I$37</f>
        <v>10477.592431178478</v>
      </c>
      <c r="U446" s="226"/>
      <c r="V446" s="226">
        <f t="shared" si="304"/>
        <v>10477.592431178478</v>
      </c>
      <c r="W446" s="228"/>
      <c r="X446" s="226"/>
      <c r="Y446" s="226"/>
      <c r="Z446" s="224"/>
      <c r="AA446" s="226"/>
      <c r="AB446" s="226"/>
      <c r="AC446" s="226"/>
      <c r="AD446" s="226"/>
      <c r="AE446" s="227">
        <v>1490</v>
      </c>
      <c r="AF446" s="227">
        <v>903.0815544436</v>
      </c>
      <c r="AG446" s="226" t="s">
        <v>155</v>
      </c>
      <c r="AH446" s="229">
        <v>0.66900000000000004</v>
      </c>
      <c r="AI446" s="225">
        <f t="shared" si="305"/>
        <v>604.16155992276845</v>
      </c>
      <c r="AJ446" s="226">
        <f t="shared" si="306"/>
        <v>-7.1926732782803565E-2</v>
      </c>
      <c r="AK446" s="226"/>
      <c r="AL446" s="226">
        <f t="shared" si="307"/>
        <v>192.59990882860325</v>
      </c>
      <c r="AM446" s="228">
        <f t="shared" si="308"/>
        <v>173933.42505063067</v>
      </c>
      <c r="AN446" s="226"/>
      <c r="AO446" s="227">
        <v>2.2023622047244</v>
      </c>
      <c r="AP446" s="225"/>
      <c r="AQ446" s="226">
        <f t="shared" si="309"/>
        <v>1988.9126832903453</v>
      </c>
      <c r="AR446" s="226">
        <f t="shared" si="310"/>
        <v>2.1161824926003835E-3</v>
      </c>
      <c r="AS446" s="228">
        <f>AR446*'DADOS BASE'!W$38</f>
        <v>634801.35162340896</v>
      </c>
      <c r="AT446" s="225"/>
      <c r="AU446" s="227">
        <v>13.3</v>
      </c>
      <c r="AV446" s="227">
        <v>22.75</v>
      </c>
      <c r="AW446" s="226">
        <f t="shared" si="311"/>
        <v>3.3250000000000002</v>
      </c>
      <c r="AX446" s="226">
        <f>IF($AW$11&gt;0,(AW446/$AW$11)*'DADOS BASE'!W$40,0)</f>
        <v>597.42394444496438</v>
      </c>
      <c r="AY446" s="226">
        <f t="shared" si="312"/>
        <v>7.3228543307086307</v>
      </c>
      <c r="AZ446" s="226">
        <f t="shared" si="313"/>
        <v>3.8298759169397224E-4</v>
      </c>
      <c r="BA446" s="226">
        <f>AZ446*'DADOS BASE'!W$41</f>
        <v>2829.4563231712195</v>
      </c>
      <c r="BB446" s="225"/>
      <c r="BC446" s="227">
        <v>0</v>
      </c>
      <c r="BD446" s="226">
        <f>IF($BC$11&gt;0,(BC446/$BC$11)*'DADOS BASE'!W$39,0)</f>
        <v>0</v>
      </c>
      <c r="BE446" s="187"/>
    </row>
    <row r="447" spans="2:57" x14ac:dyDescent="0.3">
      <c r="B447" s="184" t="s">
        <v>532</v>
      </c>
      <c r="C447" s="184" t="s">
        <v>556</v>
      </c>
      <c r="D447" s="184" t="s">
        <v>92</v>
      </c>
      <c r="E447" s="184">
        <v>2014</v>
      </c>
      <c r="F447" s="185"/>
      <c r="H447" s="186">
        <f ca="1">IF(AND(E447&gt;=2018,SUMIF('DADOS BASE'!$C$101:$D$104,D447,'DADOS BASE'!$H$101:$H$104)&gt;J447),
SUMIF('DADOS BASE'!$C$101:$D$104,D447,'DADOS BASE'!$H$101:$H$104),
J447)</f>
        <v>1367395.1707384665</v>
      </c>
      <c r="J447" s="186">
        <f t="shared" si="302"/>
        <v>1367395.1707384665</v>
      </c>
      <c r="K447" s="186"/>
      <c r="L447" s="188">
        <v>1372.3104335583</v>
      </c>
      <c r="M447" s="186">
        <f t="shared" si="303"/>
        <v>1.0706130021888578E-3</v>
      </c>
      <c r="N447" s="186">
        <f>L447*'DADOS BASE'!$I$29</f>
        <v>1351363.666529859</v>
      </c>
      <c r="O447" s="187"/>
      <c r="P447" s="188">
        <v>0</v>
      </c>
      <c r="Q447" s="186">
        <f>P447*'DADOS BASE'!$I$33</f>
        <v>0</v>
      </c>
      <c r="R447" s="186"/>
      <c r="S447" s="188">
        <v>20.350000000000001</v>
      </c>
      <c r="T447" s="186">
        <f>S447*'DADOS BASE'!$I$37</f>
        <v>16031.504208607672</v>
      </c>
      <c r="U447" s="186"/>
      <c r="V447" s="186">
        <f t="shared" si="304"/>
        <v>16031.504208607672</v>
      </c>
      <c r="W447" s="187"/>
      <c r="X447" s="186"/>
      <c r="Y447" s="186"/>
      <c r="Z447" s="185"/>
      <c r="AA447" s="186"/>
      <c r="AB447" s="186"/>
      <c r="AC447" s="186"/>
      <c r="AD447" s="186"/>
      <c r="AE447" s="188">
        <v>662</v>
      </c>
      <c r="AF447" s="188">
        <v>448.81427433593001</v>
      </c>
      <c r="AG447" s="186" t="s">
        <v>155</v>
      </c>
      <c r="AH447" s="189">
        <v>0.59</v>
      </c>
      <c r="AI447" s="183">
        <f t="shared" si="305"/>
        <v>264.80042185819872</v>
      </c>
      <c r="AJ447" s="186">
        <f t="shared" si="306"/>
        <v>-0.17848146376610785</v>
      </c>
      <c r="AK447" s="186"/>
      <c r="AL447" s="186">
        <f t="shared" si="307"/>
        <v>211.74527655290933</v>
      </c>
      <c r="AM447" s="187">
        <f t="shared" si="308"/>
        <v>95034.302640154812</v>
      </c>
      <c r="AN447" s="186"/>
      <c r="AO447" s="188">
        <v>2.1987951807228998</v>
      </c>
      <c r="AQ447" s="186">
        <f t="shared" si="309"/>
        <v>986.85066344948837</v>
      </c>
      <c r="AR447" s="186">
        <f t="shared" si="310"/>
        <v>1.0499988834844281E-3</v>
      </c>
      <c r="AS447" s="187">
        <f>AR447*'DADOS BASE'!W$38</f>
        <v>314973.17115592153</v>
      </c>
      <c r="AU447" s="188">
        <v>20.350000000000001</v>
      </c>
      <c r="AV447" s="188">
        <v>24.75</v>
      </c>
      <c r="AW447" s="186">
        <f t="shared" si="311"/>
        <v>5.0875000000000004</v>
      </c>
      <c r="AX447" s="186">
        <f>IF($AW$11&gt;0,(AW447/$AW$11)*'DADOS BASE'!W$40,0)</f>
        <v>914.10355409436272</v>
      </c>
      <c r="AY447" s="186">
        <f t="shared" si="312"/>
        <v>11.186370481927753</v>
      </c>
      <c r="AZ447" s="186">
        <f t="shared" si="313"/>
        <v>5.8505070525627465E-4</v>
      </c>
      <c r="BA447" s="186">
        <f>AZ447*'DADOS BASE'!W$41</f>
        <v>4322.2690584865786</v>
      </c>
      <c r="BC447" s="188">
        <v>0</v>
      </c>
      <c r="BD447" s="186">
        <f>IF($BC$11&gt;0,(BC447/$BC$11)*'DADOS BASE'!W$39,0)</f>
        <v>0</v>
      </c>
      <c r="BE447" s="187"/>
    </row>
    <row r="448" spans="2:57" x14ac:dyDescent="0.3">
      <c r="B448" s="223" t="s">
        <v>532</v>
      </c>
      <c r="C448" s="223" t="s">
        <v>557</v>
      </c>
      <c r="D448" s="223" t="s">
        <v>94</v>
      </c>
      <c r="E448" s="223">
        <v>2014</v>
      </c>
      <c r="F448" s="224"/>
      <c r="G448" s="225"/>
      <c r="H448" s="226">
        <f ca="1">IF(AND(E448&gt;=2018,SUMIF('DADOS BASE'!$C$101:$D$104,D448,'DADOS BASE'!$H$101:$H$104)&gt;J448),
SUMIF('DADOS BASE'!$C$101:$D$104,D448,'DADOS BASE'!$H$101:$H$104),
J448)</f>
        <v>1495320.0006801873</v>
      </c>
      <c r="I448" s="225"/>
      <c r="J448" s="226">
        <f t="shared" si="302"/>
        <v>1495320.0006801873</v>
      </c>
      <c r="K448" s="226"/>
      <c r="L448" s="227">
        <v>1517.5781580207999</v>
      </c>
      <c r="M448" s="226">
        <f t="shared" si="303"/>
        <v>1.1839441485568662E-3</v>
      </c>
      <c r="N448" s="226">
        <f>L448*'DADOS BASE'!$I$29</f>
        <v>1494414.0434398975</v>
      </c>
      <c r="O448" s="228"/>
      <c r="P448" s="227">
        <v>0</v>
      </c>
      <c r="Q448" s="226">
        <f>P448*'DADOS BASE'!$I$33</f>
        <v>0</v>
      </c>
      <c r="R448" s="226"/>
      <c r="S448" s="227">
        <v>1.1499999999999999</v>
      </c>
      <c r="T448" s="226">
        <f>S448*'DADOS BASE'!$I$37</f>
        <v>905.95724028986831</v>
      </c>
      <c r="U448" s="226"/>
      <c r="V448" s="226">
        <f t="shared" si="304"/>
        <v>905.95724028986831</v>
      </c>
      <c r="W448" s="228"/>
      <c r="X448" s="226"/>
      <c r="Y448" s="226"/>
      <c r="Z448" s="224"/>
      <c r="AA448" s="226"/>
      <c r="AB448" s="226"/>
      <c r="AC448" s="226"/>
      <c r="AD448" s="226"/>
      <c r="AE448" s="227">
        <v>956</v>
      </c>
      <c r="AF448" s="227">
        <v>695.62748273520003</v>
      </c>
      <c r="AG448" s="226" t="s">
        <v>155</v>
      </c>
      <c r="AH448" s="229">
        <v>0.66100000000000003</v>
      </c>
      <c r="AI448" s="225">
        <f t="shared" si="305"/>
        <v>459.80976608796726</v>
      </c>
      <c r="AJ448" s="226">
        <f t="shared" si="306"/>
        <v>-8.2717085287441969E-2</v>
      </c>
      <c r="AK448" s="226"/>
      <c r="AL448" s="226">
        <f t="shared" si="307"/>
        <v>194.53868024372284</v>
      </c>
      <c r="AM448" s="228">
        <f t="shared" si="308"/>
        <v>135326.45243256891</v>
      </c>
      <c r="AN448" s="226"/>
      <c r="AO448" s="227">
        <v>2.2139364303178</v>
      </c>
      <c r="AP448" s="225"/>
      <c r="AQ448" s="226">
        <f t="shared" si="309"/>
        <v>1540.0750259577258</v>
      </c>
      <c r="AR448" s="226">
        <f t="shared" si="310"/>
        <v>1.6386238745439454E-3</v>
      </c>
      <c r="AS448" s="228">
        <f>AR448*'DADOS BASE'!W$38</f>
        <v>491545.81610996899</v>
      </c>
      <c r="AT448" s="225"/>
      <c r="AU448" s="227">
        <v>1.1499999999999999</v>
      </c>
      <c r="AV448" s="227">
        <v>4.75</v>
      </c>
      <c r="AW448" s="226">
        <f t="shared" si="311"/>
        <v>0.28749999999999998</v>
      </c>
      <c r="AX448" s="226">
        <f>IF($AW$11&gt;0,(AW448/$AW$11)*'DADOS BASE'!W$40,0)</f>
        <v>51.656957602384125</v>
      </c>
      <c r="AY448" s="226">
        <f t="shared" si="312"/>
        <v>0.63650672371636741</v>
      </c>
      <c r="AZ448" s="226">
        <f t="shared" si="313"/>
        <v>3.3289502454101409E-5</v>
      </c>
      <c r="BA448" s="226">
        <f>AZ448*'DADOS BASE'!W$41</f>
        <v>245.93797620797309</v>
      </c>
      <c r="BB448" s="225"/>
      <c r="BC448" s="227">
        <v>0</v>
      </c>
      <c r="BD448" s="226">
        <f>IF($BC$11&gt;0,(BC448/$BC$11)*'DADOS BASE'!W$39,0)</f>
        <v>0</v>
      </c>
      <c r="BE448" s="187"/>
    </row>
    <row r="449" spans="2:57" x14ac:dyDescent="0.3">
      <c r="F449" s="185"/>
      <c r="H449" s="186"/>
      <c r="J449" s="186"/>
      <c r="K449" s="186"/>
      <c r="L449" s="186"/>
      <c r="M449" s="186"/>
      <c r="N449" s="186"/>
      <c r="O449" s="187"/>
      <c r="P449" s="186"/>
      <c r="Q449" s="186"/>
      <c r="R449" s="186"/>
      <c r="S449" s="186"/>
      <c r="T449" s="186"/>
      <c r="U449" s="186"/>
      <c r="V449" s="186"/>
      <c r="W449" s="187"/>
      <c r="X449" s="186"/>
      <c r="Y449" s="186"/>
      <c r="Z449" s="185"/>
      <c r="AA449" s="186"/>
      <c r="AB449" s="186"/>
      <c r="AC449" s="186"/>
      <c r="AD449" s="186"/>
      <c r="AE449" s="186"/>
      <c r="AF449" s="186"/>
      <c r="AG449" s="186"/>
      <c r="AH449" s="185"/>
      <c r="AJ449" s="186"/>
      <c r="AK449" s="186"/>
      <c r="AL449" s="186"/>
      <c r="AM449" s="187"/>
      <c r="AN449" s="186"/>
      <c r="AO449" s="186"/>
      <c r="AQ449" s="186"/>
      <c r="AR449" s="186"/>
      <c r="AS449" s="187"/>
      <c r="AU449" s="186"/>
      <c r="AV449" s="186"/>
      <c r="AW449" s="186"/>
      <c r="AX449" s="186"/>
      <c r="AY449" s="186"/>
      <c r="AZ449" s="186"/>
      <c r="BA449" s="186"/>
      <c r="BC449" s="186"/>
      <c r="BD449" s="186"/>
      <c r="BE449" s="187"/>
    </row>
    <row r="450" spans="2:57" x14ac:dyDescent="0.3">
      <c r="B450" s="209" t="s">
        <v>558</v>
      </c>
      <c r="C450" s="209" t="s">
        <v>559</v>
      </c>
      <c r="D450" s="211" t="s">
        <v>154</v>
      </c>
      <c r="E450" s="211"/>
      <c r="F450" s="210"/>
      <c r="G450" s="211"/>
      <c r="H450" s="212">
        <f ca="1">SUM(H451:H471)</f>
        <v>40862528.270575143</v>
      </c>
      <c r="I450" s="211"/>
      <c r="J450" s="212">
        <f>SUM(J451:J471)</f>
        <v>40862528.270575143</v>
      </c>
      <c r="K450" s="212"/>
      <c r="L450" s="212">
        <f>SUM(L451:L471)</f>
        <v>41060.785998304673</v>
      </c>
      <c r="M450" s="212">
        <f>SUM(M451:M471)</f>
        <v>3.2033722323230894E-2</v>
      </c>
      <c r="N450" s="212">
        <f>SUM(N451:N471)</f>
        <v>40434039.529518448</v>
      </c>
      <c r="O450" s="214"/>
      <c r="P450" s="212">
        <f>SUM(P451:P471)</f>
        <v>790.85267241033</v>
      </c>
      <c r="Q450" s="212">
        <f>SUM(Q451:Q471)</f>
        <v>194695.30015563313</v>
      </c>
      <c r="R450" s="212"/>
      <c r="S450" s="212">
        <f>SUM(S451:S471)</f>
        <v>296.77168532832798</v>
      </c>
      <c r="T450" s="212">
        <f>SUM(T451:T471)</f>
        <v>233793.44090106542</v>
      </c>
      <c r="U450" s="212"/>
      <c r="V450" s="212">
        <f>SUM(V451:V471)</f>
        <v>428488.74105669855</v>
      </c>
      <c r="W450" s="214"/>
      <c r="X450" s="212">
        <f>SUMIF(INDICADORES!$D$13:$D$53,C450,INDICADORES!$L$13:$L$53)</f>
        <v>2.781405787237174E-2</v>
      </c>
      <c r="Y450" s="212">
        <f>X450*'DADOS BASE'!$I$79</f>
        <v>1154929.147695885</v>
      </c>
      <c r="Z450" s="210">
        <f>SUMIF(INDICADORES!$D$13:$D$53,C450,INDICADORES!$R$13:$R$53)</f>
        <v>3.2666628460083669E-2</v>
      </c>
      <c r="AA450" s="212">
        <f>Z450*'DADOS BASE'!$I$84</f>
        <v>1356423.4869511146</v>
      </c>
      <c r="AB450" s="212">
        <f>SUMIF(INDICADORES!$D$13:$D$53,C450,INDICADORES!$Z$13:$Z$53)</f>
        <v>3.7241085899267709E-2</v>
      </c>
      <c r="AC450" s="212">
        <f>AB450*'DADOS BASE'!$I$89</f>
        <v>3092739.3474386921</v>
      </c>
      <c r="AD450" s="212"/>
      <c r="AE450" s="212">
        <f>SUM(AE451:AE471)</f>
        <v>26820</v>
      </c>
      <c r="AF450" s="212">
        <f>SUM(AF451:AF471)</f>
        <v>19097.805646866771</v>
      </c>
      <c r="AG450" s="212" t="s">
        <v>155</v>
      </c>
      <c r="AH450" s="210"/>
      <c r="AI450" s="211"/>
      <c r="AJ450" s="212"/>
      <c r="AK450" s="212"/>
      <c r="AL450" s="212"/>
      <c r="AM450" s="214">
        <f>SUM(AM451:AM471)</f>
        <v>3663640.14208184</v>
      </c>
      <c r="AN450" s="212"/>
      <c r="AO450" s="212"/>
      <c r="AP450" s="211"/>
      <c r="AQ450" s="212">
        <f>SUM(AQ451:AQ471)</f>
        <v>39718.125000404165</v>
      </c>
      <c r="AR450" s="212"/>
      <c r="AS450" s="214">
        <f>SUM(AS451:AS471)</f>
        <v>12676835.763595669</v>
      </c>
      <c r="AT450" s="211"/>
      <c r="AU450" s="212">
        <f t="shared" ref="AU450:BA450" si="314">SUM(AU451:AU471)</f>
        <v>296.77168532832798</v>
      </c>
      <c r="AV450" s="212">
        <f t="shared" si="314"/>
        <v>723.5</v>
      </c>
      <c r="AW450" s="212">
        <f t="shared" si="314"/>
        <v>74.192921332081994</v>
      </c>
      <c r="AX450" s="212">
        <f t="shared" si="314"/>
        <v>13330.715101385675</v>
      </c>
      <c r="AY450" s="212">
        <f t="shared" si="314"/>
        <v>153.55081349989587</v>
      </c>
      <c r="AZ450" s="212">
        <f t="shared" si="314"/>
        <v>8.030755987916062E-3</v>
      </c>
      <c r="BA450" s="212">
        <f t="shared" si="314"/>
        <v>59330.050901520801</v>
      </c>
      <c r="BB450" s="211"/>
      <c r="BC450" s="212">
        <f>SUM(BC451:BC471)</f>
        <v>32</v>
      </c>
      <c r="BD450" s="212">
        <f>SUM(BD451:BD471)</f>
        <v>172902.52840044763</v>
      </c>
      <c r="BE450" s="187"/>
    </row>
    <row r="451" spans="2:57" x14ac:dyDescent="0.3">
      <c r="B451" s="216" t="s">
        <v>558</v>
      </c>
      <c r="C451" s="218" t="s">
        <v>156</v>
      </c>
      <c r="D451" s="218" t="s">
        <v>157</v>
      </c>
      <c r="E451" s="218"/>
      <c r="F451" s="217"/>
      <c r="G451" s="218"/>
      <c r="H451" s="219"/>
      <c r="I451" s="218"/>
      <c r="J451" s="219"/>
      <c r="K451" s="219"/>
      <c r="L451" s="219">
        <v>0</v>
      </c>
      <c r="M451" s="219">
        <v>0</v>
      </c>
      <c r="N451" s="219">
        <v>0</v>
      </c>
      <c r="O451" s="221"/>
      <c r="P451" s="219"/>
      <c r="Q451" s="219"/>
      <c r="R451" s="219"/>
      <c r="S451" s="219"/>
      <c r="T451" s="219"/>
      <c r="U451" s="219"/>
      <c r="V451" s="219"/>
      <c r="W451" s="221"/>
      <c r="X451" s="219"/>
      <c r="Y451" s="219"/>
      <c r="Z451" s="217"/>
      <c r="AA451" s="219"/>
      <c r="AB451" s="219"/>
      <c r="AC451" s="219"/>
      <c r="AD451" s="219"/>
      <c r="AE451" s="219"/>
      <c r="AF451" s="219"/>
      <c r="AG451" s="219" t="s">
        <v>155</v>
      </c>
      <c r="AH451" s="217"/>
      <c r="AI451" s="218"/>
      <c r="AJ451" s="219"/>
      <c r="AK451" s="219"/>
      <c r="AL451" s="219"/>
      <c r="AM451" s="221"/>
      <c r="AN451" s="219"/>
      <c r="AO451" s="219"/>
      <c r="AP451" s="218"/>
      <c r="AQ451" s="219"/>
      <c r="AR451" s="219"/>
      <c r="AS451" s="221"/>
      <c r="AT451" s="218"/>
      <c r="AU451" s="219"/>
      <c r="AV451" s="219"/>
      <c r="AW451" s="219"/>
      <c r="AX451" s="219"/>
      <c r="AY451" s="219"/>
      <c r="AZ451" s="219"/>
      <c r="BA451" s="219"/>
      <c r="BB451" s="218"/>
      <c r="BC451" s="219"/>
      <c r="BD451" s="219"/>
      <c r="BE451" s="187"/>
    </row>
    <row r="452" spans="2:57" x14ac:dyDescent="0.3">
      <c r="B452" s="223" t="s">
        <v>558</v>
      </c>
      <c r="C452" s="223" t="s">
        <v>560</v>
      </c>
      <c r="D452" s="223" t="s">
        <v>94</v>
      </c>
      <c r="E452" s="223">
        <v>2010</v>
      </c>
      <c r="F452" s="224"/>
      <c r="G452" s="225"/>
      <c r="H452" s="226">
        <f ca="1">IF(AND(E452&gt;=2018,SUMIF('DADOS BASE'!$C$101:$D$104,D452,'DADOS BASE'!$H$101:$H$104)&gt;J452),
SUMIF('DADOS BASE'!$C$101:$D$104,D452,'DADOS BASE'!$H$101:$H$104),
J452)</f>
        <v>1657030.8413243941</v>
      </c>
      <c r="I452" s="225"/>
      <c r="J452" s="226">
        <f t="shared" ref="J452:J471" si="315">N452+Q452+T452</f>
        <v>1657030.8413243941</v>
      </c>
      <c r="K452" s="226"/>
      <c r="L452" s="227">
        <v>1682.7155921075</v>
      </c>
      <c r="M452" s="226">
        <f t="shared" ref="M452:M471" si="316">L452/$L$11</f>
        <v>1.3127767215359272E-3</v>
      </c>
      <c r="N452" s="226">
        <f>L452*'DADOS BASE'!$I$29</f>
        <v>1657030.8413243941</v>
      </c>
      <c r="O452" s="228"/>
      <c r="P452" s="227">
        <v>0</v>
      </c>
      <c r="Q452" s="226">
        <f>P452*'DADOS BASE'!$I$33</f>
        <v>0</v>
      </c>
      <c r="R452" s="226"/>
      <c r="S452" s="227">
        <v>0</v>
      </c>
      <c r="T452" s="226">
        <f>S452*'DADOS BASE'!$I$37</f>
        <v>0</v>
      </c>
      <c r="U452" s="226"/>
      <c r="V452" s="226">
        <f t="shared" ref="V452:V471" si="317">T452+Q452</f>
        <v>0</v>
      </c>
      <c r="W452" s="228"/>
      <c r="X452" s="226"/>
      <c r="Y452" s="226"/>
      <c r="Z452" s="224"/>
      <c r="AA452" s="226"/>
      <c r="AB452" s="226"/>
      <c r="AC452" s="226"/>
      <c r="AD452" s="226"/>
      <c r="AE452" s="227">
        <v>1152</v>
      </c>
      <c r="AF452" s="227">
        <v>893.48552178260002</v>
      </c>
      <c r="AG452" s="226" t="s">
        <v>155</v>
      </c>
      <c r="AH452" s="229">
        <v>0.63</v>
      </c>
      <c r="AI452" s="225">
        <f t="shared" ref="AI452:AI471" si="318">AF452*AH452</f>
        <v>562.89587872303798</v>
      </c>
      <c r="AJ452" s="226">
        <f t="shared" ref="AJ452:AJ471" si="319">(AH452-$AI$12)*$AJ$12</f>
        <v>-0.12452970124291581</v>
      </c>
      <c r="AK452" s="226"/>
      <c r="AL452" s="226">
        <f t="shared" ref="AL452:AL471" si="320">$AL$11-(AJ452*$AL$11)</f>
        <v>202.0514194773113</v>
      </c>
      <c r="AM452" s="228">
        <f t="shared" ref="AM452:AM471" si="321">AF452*AL452</f>
        <v>180530.01795860048</v>
      </c>
      <c r="AN452" s="226"/>
      <c r="AO452" s="227">
        <v>2.3505338078292</v>
      </c>
      <c r="AP452" s="225"/>
      <c r="AQ452" s="226">
        <f t="shared" ref="AQ452:AQ471" si="322">AF452*AO452</f>
        <v>2100.1679257559144</v>
      </c>
      <c r="AR452" s="226">
        <f t="shared" ref="AR452:AR471" si="323">AQ452/$AQ$11</f>
        <v>2.2345569181313001E-3</v>
      </c>
      <c r="AS452" s="228">
        <f>AR452*'DADOS BASE'!W$38</f>
        <v>670310.69242337591</v>
      </c>
      <c r="AT452" s="225"/>
      <c r="AU452" s="227">
        <v>0</v>
      </c>
      <c r="AV452" s="227">
        <v>0</v>
      </c>
      <c r="AW452" s="226">
        <f t="shared" ref="AW452:AW471" si="324">AU452/4</f>
        <v>0</v>
      </c>
      <c r="AX452" s="226">
        <f>IF($AW$11&gt;0,(AW452/$AW$11)*'DADOS BASE'!W$40,0)</f>
        <v>0</v>
      </c>
      <c r="AY452" s="226">
        <f t="shared" ref="AY452:AY471" si="325">AO452*AW452</f>
        <v>0</v>
      </c>
      <c r="AZ452" s="226">
        <f t="shared" ref="AZ452:AZ471" si="326">IF($AY$11&gt;0,AY452/$AY$11,0)</f>
        <v>0</v>
      </c>
      <c r="BA452" s="226">
        <f>AZ452*'DADOS BASE'!W$41</f>
        <v>0</v>
      </c>
      <c r="BB452" s="225"/>
      <c r="BC452" s="227">
        <v>0</v>
      </c>
      <c r="BD452" s="226">
        <f>IF($BC$11&gt;0,(BC452/$BC$11)*'DADOS BASE'!W$39,0)</f>
        <v>0</v>
      </c>
      <c r="BE452" s="187"/>
    </row>
    <row r="453" spans="2:57" x14ac:dyDescent="0.3">
      <c r="B453" s="184" t="s">
        <v>558</v>
      </c>
      <c r="C453" s="184" t="s">
        <v>561</v>
      </c>
      <c r="D453" s="184" t="s">
        <v>98</v>
      </c>
      <c r="E453" s="184">
        <v>2016</v>
      </c>
      <c r="F453" s="185"/>
      <c r="H453" s="186">
        <f ca="1">IF(AND(E453&gt;=2018,SUMIF('DADOS BASE'!$C$101:$D$104,D453,'DADOS BASE'!$H$101:$H$104)&gt;J453),
SUMIF('DADOS BASE'!$C$101:$D$104,D453,'DADOS BASE'!$H$101:$H$104),
J453)</f>
        <v>332315.35156936914</v>
      </c>
      <c r="J453" s="186">
        <f t="shared" si="315"/>
        <v>332315.35156936914</v>
      </c>
      <c r="K453" s="186"/>
      <c r="L453" s="188">
        <v>328.66639449119998</v>
      </c>
      <c r="M453" s="186">
        <f t="shared" si="316"/>
        <v>2.5641028933404402E-4</v>
      </c>
      <c r="N453" s="186">
        <f>L453*'DADOS BASE'!$I$29</f>
        <v>323649.67361877038</v>
      </c>
      <c r="O453" s="187"/>
      <c r="P453" s="188">
        <v>0</v>
      </c>
      <c r="Q453" s="186">
        <f>P453*'DADOS BASE'!$I$33</f>
        <v>0</v>
      </c>
      <c r="R453" s="186"/>
      <c r="S453" s="188">
        <v>11</v>
      </c>
      <c r="T453" s="186">
        <f>S453*'DADOS BASE'!$I$37</f>
        <v>8665.6779505987415</v>
      </c>
      <c r="U453" s="186"/>
      <c r="V453" s="186">
        <f t="shared" si="317"/>
        <v>8665.6779505987415</v>
      </c>
      <c r="W453" s="187"/>
      <c r="X453" s="186"/>
      <c r="Y453" s="186"/>
      <c r="Z453" s="185"/>
      <c r="AA453" s="186"/>
      <c r="AB453" s="186"/>
      <c r="AC453" s="186"/>
      <c r="AD453" s="186"/>
      <c r="AE453" s="188">
        <v>243</v>
      </c>
      <c r="AF453" s="188">
        <v>90.174371864318999</v>
      </c>
      <c r="AG453" s="186" t="s">
        <v>155</v>
      </c>
      <c r="AH453" s="189">
        <v>0.61799999999999999</v>
      </c>
      <c r="AI453" s="183">
        <f t="shared" si="318"/>
        <v>55.72776181214914</v>
      </c>
      <c r="AJ453" s="186">
        <f t="shared" si="319"/>
        <v>-0.14071522999987343</v>
      </c>
      <c r="AK453" s="186"/>
      <c r="AL453" s="186">
        <f t="shared" si="320"/>
        <v>204.95957659999073</v>
      </c>
      <c r="AM453" s="187">
        <f t="shared" si="321"/>
        <v>18482.10107748094</v>
      </c>
      <c r="AN453" s="186"/>
      <c r="AO453" s="188">
        <v>2</v>
      </c>
      <c r="AQ453" s="186">
        <f t="shared" si="322"/>
        <v>180.348743728638</v>
      </c>
      <c r="AR453" s="186">
        <f t="shared" si="323"/>
        <v>1.9188919516046086E-4</v>
      </c>
      <c r="AS453" s="187">
        <f>AR453*'DADOS BASE'!W$38</f>
        <v>57561.916741927867</v>
      </c>
      <c r="AU453" s="188">
        <v>11</v>
      </c>
      <c r="AV453" s="188">
        <v>13.75</v>
      </c>
      <c r="AW453" s="186">
        <f t="shared" si="324"/>
        <v>2.75</v>
      </c>
      <c r="AX453" s="186">
        <f>IF($AW$11&gt;0,(AW453/$AW$11)*'DADOS BASE'!W$40,0)</f>
        <v>494.11002924019607</v>
      </c>
      <c r="AY453" s="186">
        <f t="shared" si="325"/>
        <v>5.5</v>
      </c>
      <c r="AZ453" s="186">
        <f t="shared" si="326"/>
        <v>2.8765173512785257E-4</v>
      </c>
      <c r="BA453" s="186">
        <f>AZ453*'DADOS BASE'!W$41</f>
        <v>2125.1289558201238</v>
      </c>
      <c r="BC453" s="188">
        <v>0</v>
      </c>
      <c r="BD453" s="186">
        <f>IF($BC$11&gt;0,(BC453/$BC$11)*'DADOS BASE'!W$39,0)</f>
        <v>0</v>
      </c>
      <c r="BE453" s="187"/>
    </row>
    <row r="454" spans="2:57" x14ac:dyDescent="0.3">
      <c r="B454" s="223" t="s">
        <v>558</v>
      </c>
      <c r="C454" s="223" t="s">
        <v>562</v>
      </c>
      <c r="D454" s="223" t="s">
        <v>98</v>
      </c>
      <c r="E454" s="223">
        <v>2014</v>
      </c>
      <c r="F454" s="224"/>
      <c r="G454" s="225"/>
      <c r="H454" s="226">
        <f ca="1">IF(AND(E454&gt;=2018,SUMIF('DADOS BASE'!$C$101:$D$104,D454,'DADOS BASE'!$H$101:$H$104)&gt;J454),
SUMIF('DADOS BASE'!$C$101:$D$104,D454,'DADOS BASE'!$H$101:$H$104),
J454)</f>
        <v>201874.26531875422</v>
      </c>
      <c r="I454" s="225"/>
      <c r="J454" s="226">
        <f t="shared" si="315"/>
        <v>201874.26531875422</v>
      </c>
      <c r="K454" s="226"/>
      <c r="L454" s="227">
        <v>191.42160383200999</v>
      </c>
      <c r="M454" s="226">
        <f t="shared" si="316"/>
        <v>1.4933826410617896E-4</v>
      </c>
      <c r="N454" s="226">
        <f>L454*'DADOS BASE'!$I$29</f>
        <v>188499.7694994655</v>
      </c>
      <c r="O454" s="228"/>
      <c r="P454" s="227">
        <v>0</v>
      </c>
      <c r="Q454" s="226">
        <f>P454*'DADOS BASE'!$I$33</f>
        <v>0</v>
      </c>
      <c r="R454" s="226"/>
      <c r="S454" s="227">
        <v>16.977258426965999</v>
      </c>
      <c r="T454" s="226">
        <f>S454*'DADOS BASE'!$I$37</f>
        <v>13374.495819288721</v>
      </c>
      <c r="U454" s="226"/>
      <c r="V454" s="226">
        <f t="shared" si="317"/>
        <v>13374.495819288721</v>
      </c>
      <c r="W454" s="228"/>
      <c r="X454" s="226"/>
      <c r="Y454" s="226"/>
      <c r="Z454" s="224"/>
      <c r="AA454" s="226"/>
      <c r="AB454" s="226"/>
      <c r="AC454" s="226"/>
      <c r="AD454" s="226"/>
      <c r="AE454" s="227">
        <v>123</v>
      </c>
      <c r="AF454" s="227">
        <v>51.04576102187</v>
      </c>
      <c r="AG454" s="226" t="s">
        <v>155</v>
      </c>
      <c r="AH454" s="229">
        <v>0.56399999999999995</v>
      </c>
      <c r="AI454" s="225">
        <f t="shared" si="318"/>
        <v>28.789809216334678</v>
      </c>
      <c r="AJ454" s="226">
        <f t="shared" si="319"/>
        <v>-0.21355010940618269</v>
      </c>
      <c r="AK454" s="226"/>
      <c r="AL454" s="226">
        <f t="shared" si="320"/>
        <v>218.04628365204803</v>
      </c>
      <c r="AM454" s="228">
        <f t="shared" si="321"/>
        <v>11130.338487009323</v>
      </c>
      <c r="AN454" s="226"/>
      <c r="AO454" s="227">
        <v>2.2599999999999998</v>
      </c>
      <c r="AP454" s="225"/>
      <c r="AQ454" s="226">
        <f t="shared" si="322"/>
        <v>115.36341990942618</v>
      </c>
      <c r="AR454" s="226">
        <f t="shared" si="323"/>
        <v>1.2274548377606964E-4</v>
      </c>
      <c r="AS454" s="228">
        <f>AR454*'DADOS BASE'!W$38</f>
        <v>36820.547981649106</v>
      </c>
      <c r="AT454" s="225"/>
      <c r="AU454" s="227">
        <v>16.977258426965999</v>
      </c>
      <c r="AV454" s="227">
        <v>34</v>
      </c>
      <c r="AW454" s="226">
        <f t="shared" si="324"/>
        <v>4.2443146067414999</v>
      </c>
      <c r="AX454" s="226">
        <f>IF($AW$11&gt;0,(AW454/$AW$11)*'DADOS BASE'!W$40,0)</f>
        <v>762.60305979695772</v>
      </c>
      <c r="AY454" s="226">
        <f t="shared" si="325"/>
        <v>9.5921510112357886</v>
      </c>
      <c r="AZ454" s="226">
        <f t="shared" si="326"/>
        <v>5.0167252399824734E-4</v>
      </c>
      <c r="BA454" s="226">
        <f>AZ454*'DADOS BASE'!W$41</f>
        <v>3706.2832477411744</v>
      </c>
      <c r="BB454" s="225"/>
      <c r="BC454" s="227">
        <v>0</v>
      </c>
      <c r="BD454" s="226">
        <f>IF($BC$11&gt;0,(BC454/$BC$11)*'DADOS BASE'!W$39,0)</f>
        <v>0</v>
      </c>
      <c r="BE454" s="187"/>
    </row>
    <row r="455" spans="2:57" x14ac:dyDescent="0.3">
      <c r="B455" s="184" t="s">
        <v>558</v>
      </c>
      <c r="C455" s="184" t="s">
        <v>563</v>
      </c>
      <c r="D455" s="184" t="s">
        <v>98</v>
      </c>
      <c r="E455" s="184">
        <v>2014</v>
      </c>
      <c r="F455" s="185"/>
      <c r="H455" s="186">
        <f ca="1">IF(AND(E455&gt;=2018,SUMIF('DADOS BASE'!$C$101:$D$104,D455,'DADOS BASE'!$H$101:$H$104)&gt;J455),
SUMIF('DADOS BASE'!$C$101:$D$104,D455,'DADOS BASE'!$H$101:$H$104),
J455)</f>
        <v>169532.27606584851</v>
      </c>
      <c r="J455" s="186">
        <f t="shared" si="315"/>
        <v>169532.27606584851</v>
      </c>
      <c r="K455" s="186"/>
      <c r="L455" s="188">
        <v>161.20639753967001</v>
      </c>
      <c r="M455" s="186">
        <f t="shared" si="316"/>
        <v>1.2576576044421981E-4</v>
      </c>
      <c r="N455" s="186">
        <f>L455*'DADOS BASE'!$I$29</f>
        <v>158745.7641653379</v>
      </c>
      <c r="O455" s="187"/>
      <c r="P455" s="188">
        <v>0</v>
      </c>
      <c r="Q455" s="186">
        <f>P455*'DADOS BASE'!$I$33</f>
        <v>0</v>
      </c>
      <c r="R455" s="186"/>
      <c r="S455" s="188">
        <v>13.692134831461001</v>
      </c>
      <c r="T455" s="186">
        <f>S455*'DADOS BASE'!$I$37</f>
        <v>10786.511900510601</v>
      </c>
      <c r="U455" s="186"/>
      <c r="V455" s="186">
        <f t="shared" si="317"/>
        <v>10786.511900510601</v>
      </c>
      <c r="W455" s="187"/>
      <c r="X455" s="186"/>
      <c r="Y455" s="186"/>
      <c r="Z455" s="185"/>
      <c r="AA455" s="186"/>
      <c r="AB455" s="186"/>
      <c r="AC455" s="186"/>
      <c r="AD455" s="186"/>
      <c r="AE455" s="188">
        <v>382</v>
      </c>
      <c r="AF455" s="188">
        <v>130.02956661361</v>
      </c>
      <c r="AG455" s="186" t="s">
        <v>155</v>
      </c>
      <c r="AH455" s="189">
        <v>0.751</v>
      </c>
      <c r="AI455" s="183">
        <f t="shared" si="318"/>
        <v>97.652204526821109</v>
      </c>
      <c r="AJ455" s="186">
        <f t="shared" si="319"/>
        <v>3.8674380389739998E-2</v>
      </c>
      <c r="AK455" s="186"/>
      <c r="AL455" s="186">
        <f t="shared" si="320"/>
        <v>172.72750182362734</v>
      </c>
      <c r="AM455" s="187">
        <f t="shared" si="321"/>
        <v>22459.682204377794</v>
      </c>
      <c r="AN455" s="186"/>
      <c r="AO455" s="188">
        <v>1.7132867132867</v>
      </c>
      <c r="AQ455" s="186">
        <f t="shared" si="322"/>
        <v>222.7779288135259</v>
      </c>
      <c r="AR455" s="186">
        <f t="shared" si="323"/>
        <v>2.3703340858233972E-4</v>
      </c>
      <c r="AS455" s="187">
        <f>AR455*'DADOS BASE'!W$38</f>
        <v>71104.041676044319</v>
      </c>
      <c r="AU455" s="188">
        <v>13.692134831461001</v>
      </c>
      <c r="AV455" s="188">
        <v>21.25</v>
      </c>
      <c r="AW455" s="186">
        <f t="shared" si="324"/>
        <v>3.4230337078652502</v>
      </c>
      <c r="AX455" s="186">
        <f>IF($AW$11&gt;0,(AW455/$AW$11)*'DADOS BASE'!W$40,0)</f>
        <v>615.03828563035472</v>
      </c>
      <c r="AY455" s="186">
        <f t="shared" si="325"/>
        <v>5.8646381708180408</v>
      </c>
      <c r="AZ455" s="186">
        <f t="shared" si="326"/>
        <v>3.0672242649688088E-4</v>
      </c>
      <c r="BA455" s="186">
        <f>AZ455*'DADOS BASE'!W$41</f>
        <v>2266.0204349478881</v>
      </c>
      <c r="BC455" s="188">
        <v>0</v>
      </c>
      <c r="BD455" s="186">
        <f>IF($BC$11&gt;0,(BC455/$BC$11)*'DADOS BASE'!W$39,0)</f>
        <v>0</v>
      </c>
      <c r="BE455" s="187"/>
    </row>
    <row r="456" spans="2:57" x14ac:dyDescent="0.3">
      <c r="B456" s="223" t="s">
        <v>558</v>
      </c>
      <c r="C456" s="223" t="s">
        <v>564</v>
      </c>
      <c r="D456" s="223" t="s">
        <v>94</v>
      </c>
      <c r="E456" s="223">
        <v>2014</v>
      </c>
      <c r="F456" s="224"/>
      <c r="G456" s="225"/>
      <c r="H456" s="226">
        <f ca="1">IF(AND(E456&gt;=2018,SUMIF('DADOS BASE'!$C$101:$D$104,D456,'DADOS BASE'!$H$101:$H$104)&gt;J456),
SUMIF('DADOS BASE'!$C$101:$D$104,D456,'DADOS BASE'!$H$101:$H$104),
J456)</f>
        <v>2621166.6965634357</v>
      </c>
      <c r="I456" s="225"/>
      <c r="J456" s="226">
        <f t="shared" si="315"/>
        <v>2621166.6965634357</v>
      </c>
      <c r="K456" s="226"/>
      <c r="L456" s="227">
        <v>2650.4360027194998</v>
      </c>
      <c r="M456" s="226">
        <f t="shared" si="316"/>
        <v>2.0677473380591401E-3</v>
      </c>
      <c r="N456" s="226">
        <f>L456*'DADOS BASE'!$I$29</f>
        <v>2609980.0941181174</v>
      </c>
      <c r="O456" s="228"/>
      <c r="P456" s="227">
        <v>0</v>
      </c>
      <c r="Q456" s="226">
        <f>P456*'DADOS BASE'!$I$33</f>
        <v>0</v>
      </c>
      <c r="R456" s="226"/>
      <c r="S456" s="227">
        <v>14.2</v>
      </c>
      <c r="T456" s="226">
        <f>S456*'DADOS BASE'!$I$37</f>
        <v>11186.602445318375</v>
      </c>
      <c r="U456" s="226"/>
      <c r="V456" s="226">
        <f t="shared" si="317"/>
        <v>11186.602445318375</v>
      </c>
      <c r="W456" s="228"/>
      <c r="X456" s="226"/>
      <c r="Y456" s="226"/>
      <c r="Z456" s="224"/>
      <c r="AA456" s="226"/>
      <c r="AB456" s="226"/>
      <c r="AC456" s="226"/>
      <c r="AD456" s="226"/>
      <c r="AE456" s="227">
        <v>1070</v>
      </c>
      <c r="AF456" s="227">
        <v>1217.9709159617</v>
      </c>
      <c r="AG456" s="226" t="s">
        <v>155</v>
      </c>
      <c r="AH456" s="229">
        <v>0.65600000000000003</v>
      </c>
      <c r="AI456" s="225">
        <f t="shared" si="318"/>
        <v>798.98892087087529</v>
      </c>
      <c r="AJ456" s="226">
        <f t="shared" si="319"/>
        <v>-8.9461055602840983E-2</v>
      </c>
      <c r="AK456" s="226"/>
      <c r="AL456" s="226">
        <f t="shared" si="320"/>
        <v>195.7504123781726</v>
      </c>
      <c r="AM456" s="228">
        <f t="shared" si="321"/>
        <v>238418.30906412337</v>
      </c>
      <c r="AN456" s="226"/>
      <c r="AO456" s="227">
        <v>2.0059523809524</v>
      </c>
      <c r="AP456" s="225"/>
      <c r="AQ456" s="226">
        <f t="shared" si="322"/>
        <v>2443.1916588041477</v>
      </c>
      <c r="AR456" s="226">
        <f t="shared" si="323"/>
        <v>2.5995306168369713E-3</v>
      </c>
      <c r="AS456" s="228">
        <f>AR456*'DADOS BASE'!W$38</f>
        <v>779793.59290832293</v>
      </c>
      <c r="AT456" s="225"/>
      <c r="AU456" s="227">
        <v>14.2</v>
      </c>
      <c r="AV456" s="227">
        <v>17.75</v>
      </c>
      <c r="AW456" s="226">
        <f t="shared" si="324"/>
        <v>3.55</v>
      </c>
      <c r="AX456" s="226">
        <f>IF($AW$11&gt;0,(AW456/$AW$11)*'DADOS BASE'!W$40,0)</f>
        <v>637.85112865552571</v>
      </c>
      <c r="AY456" s="226">
        <f t="shared" si="325"/>
        <v>7.1211309523810193</v>
      </c>
      <c r="AZ456" s="226">
        <f t="shared" si="326"/>
        <v>3.7243739536819227E-4</v>
      </c>
      <c r="BA456" s="226">
        <f>AZ456*'DADOS BASE'!W$41</f>
        <v>2751.5130154712438</v>
      </c>
      <c r="BB456" s="225"/>
      <c r="BC456" s="227">
        <v>0</v>
      </c>
      <c r="BD456" s="226">
        <f>IF($BC$11&gt;0,(BC456/$BC$11)*'DADOS BASE'!W$39,0)</f>
        <v>0</v>
      </c>
      <c r="BE456" s="187"/>
    </row>
    <row r="457" spans="2:57" x14ac:dyDescent="0.3">
      <c r="B457" s="184" t="s">
        <v>558</v>
      </c>
      <c r="C457" s="184" t="s">
        <v>565</v>
      </c>
      <c r="D457" s="184" t="s">
        <v>94</v>
      </c>
      <c r="E457" s="184">
        <v>2014</v>
      </c>
      <c r="F457" s="185"/>
      <c r="H457" s="186">
        <f ca="1">IF(AND(E457&gt;=2018,SUMIF('DADOS BASE'!$C$101:$D$104,D457,'DADOS BASE'!$H$101:$H$104)&gt;J457),
SUMIF('DADOS BASE'!$C$101:$D$104,D457,'DADOS BASE'!$H$101:$H$104),
J457)</f>
        <v>2060451.8877400944</v>
      </c>
      <c r="J457" s="186">
        <f t="shared" si="315"/>
        <v>2060451.8877400944</v>
      </c>
      <c r="K457" s="186"/>
      <c r="L457" s="188">
        <v>2092.3898528747</v>
      </c>
      <c r="M457" s="186">
        <f t="shared" si="316"/>
        <v>1.6323855939265632E-3</v>
      </c>
      <c r="N457" s="186">
        <f>L457*'DADOS BASE'!$I$29</f>
        <v>2060451.8877400944</v>
      </c>
      <c r="O457" s="187"/>
      <c r="P457" s="188">
        <v>0</v>
      </c>
      <c r="Q457" s="186">
        <f>P457*'DADOS BASE'!$I$33</f>
        <v>0</v>
      </c>
      <c r="R457" s="186"/>
      <c r="S457" s="188">
        <v>0</v>
      </c>
      <c r="T457" s="186">
        <f>S457*'DADOS BASE'!$I$37</f>
        <v>0</v>
      </c>
      <c r="U457" s="186"/>
      <c r="V457" s="186">
        <f t="shared" si="317"/>
        <v>0</v>
      </c>
      <c r="W457" s="187"/>
      <c r="X457" s="186"/>
      <c r="Y457" s="186"/>
      <c r="Z457" s="185"/>
      <c r="AA457" s="186"/>
      <c r="AB457" s="186"/>
      <c r="AC457" s="186"/>
      <c r="AD457" s="186"/>
      <c r="AE457" s="188">
        <v>1010</v>
      </c>
      <c r="AF457" s="188">
        <v>838.16710224998997</v>
      </c>
      <c r="AG457" s="186" t="s">
        <v>155</v>
      </c>
      <c r="AH457" s="189">
        <v>0.497</v>
      </c>
      <c r="AI457" s="183">
        <f t="shared" si="318"/>
        <v>416.56904981824499</v>
      </c>
      <c r="AJ457" s="186">
        <f t="shared" si="319"/>
        <v>-0.30391931163252922</v>
      </c>
      <c r="AK457" s="186"/>
      <c r="AL457" s="186">
        <f t="shared" si="320"/>
        <v>234.28349425367469</v>
      </c>
      <c r="AM457" s="187">
        <f t="shared" si="321"/>
        <v>196368.71748360468</v>
      </c>
      <c r="AN457" s="186"/>
      <c r="AO457" s="188">
        <v>1.9290697674419</v>
      </c>
      <c r="AQ457" s="186">
        <f t="shared" si="322"/>
        <v>1616.8828170148392</v>
      </c>
      <c r="AR457" s="186">
        <f t="shared" si="323"/>
        <v>1.7203465686048411E-3</v>
      </c>
      <c r="AS457" s="187">
        <f>AR457*'DADOS BASE'!W$38</f>
        <v>516060.5622765036</v>
      </c>
      <c r="AU457" s="188">
        <v>0</v>
      </c>
      <c r="AV457" s="188">
        <v>0</v>
      </c>
      <c r="AW457" s="186">
        <f t="shared" si="324"/>
        <v>0</v>
      </c>
      <c r="AX457" s="186">
        <f>IF($AW$11&gt;0,(AW457/$AW$11)*'DADOS BASE'!W$40,0)</f>
        <v>0</v>
      </c>
      <c r="AY457" s="186">
        <f t="shared" si="325"/>
        <v>0</v>
      </c>
      <c r="AZ457" s="186">
        <f t="shared" si="326"/>
        <v>0</v>
      </c>
      <c r="BA457" s="186">
        <f>AZ457*'DADOS BASE'!W$41</f>
        <v>0</v>
      </c>
      <c r="BC457" s="188">
        <v>0</v>
      </c>
      <c r="BD457" s="186">
        <f>IF($BC$11&gt;0,(BC457/$BC$11)*'DADOS BASE'!W$39,0)</f>
        <v>0</v>
      </c>
      <c r="BE457" s="187"/>
    </row>
    <row r="458" spans="2:57" x14ac:dyDescent="0.3">
      <c r="B458" s="223" t="s">
        <v>558</v>
      </c>
      <c r="C458" s="223" t="s">
        <v>566</v>
      </c>
      <c r="D458" s="223" t="s">
        <v>94</v>
      </c>
      <c r="E458" s="223">
        <v>2010</v>
      </c>
      <c r="F458" s="224"/>
      <c r="G458" s="225"/>
      <c r="H458" s="226">
        <f ca="1">IF(AND(E458&gt;=2018,SUMIF('DADOS BASE'!$C$101:$D$104,D458,'DADOS BASE'!$H$101:$H$104)&gt;J458),
SUMIF('DADOS BASE'!$C$101:$D$104,D458,'DADOS BASE'!$H$101:$H$104),
J458)</f>
        <v>2138767.3615592266</v>
      </c>
      <c r="I458" s="225"/>
      <c r="J458" s="226">
        <f t="shared" si="315"/>
        <v>2138767.3615592266</v>
      </c>
      <c r="K458" s="226"/>
      <c r="L458" s="227">
        <v>2159.1192530598</v>
      </c>
      <c r="M458" s="226">
        <f t="shared" si="316"/>
        <v>1.6844447794573394E-3</v>
      </c>
      <c r="N458" s="226">
        <f>L458*'DADOS BASE'!$I$29</f>
        <v>2126162.7390856287</v>
      </c>
      <c r="O458" s="228"/>
      <c r="P458" s="227">
        <v>0</v>
      </c>
      <c r="Q458" s="226">
        <f>P458*'DADOS BASE'!$I$33</f>
        <v>0</v>
      </c>
      <c r="R458" s="226"/>
      <c r="S458" s="227">
        <v>16</v>
      </c>
      <c r="T458" s="226">
        <f>S458*'DADOS BASE'!$I$37</f>
        <v>12604.622473598169</v>
      </c>
      <c r="U458" s="226"/>
      <c r="V458" s="226">
        <f t="shared" si="317"/>
        <v>12604.622473598169</v>
      </c>
      <c r="W458" s="228"/>
      <c r="X458" s="226"/>
      <c r="Y458" s="226"/>
      <c r="Z458" s="224"/>
      <c r="AA458" s="226"/>
      <c r="AB458" s="226"/>
      <c r="AC458" s="226"/>
      <c r="AD458" s="226"/>
      <c r="AE458" s="227">
        <v>1293</v>
      </c>
      <c r="AF458" s="227">
        <v>1049.7163706597</v>
      </c>
      <c r="AG458" s="226" t="s">
        <v>155</v>
      </c>
      <c r="AH458" s="229">
        <v>0.64200000000000002</v>
      </c>
      <c r="AI458" s="225">
        <f t="shared" si="318"/>
        <v>673.91790996352745</v>
      </c>
      <c r="AJ458" s="226">
        <f t="shared" si="319"/>
        <v>-0.10834417248595819</v>
      </c>
      <c r="AK458" s="226"/>
      <c r="AL458" s="226">
        <f t="shared" si="320"/>
        <v>199.1432623546319</v>
      </c>
      <c r="AM458" s="228">
        <f t="shared" si="321"/>
        <v>209043.94260023668</v>
      </c>
      <c r="AN458" s="226"/>
      <c r="AO458" s="227">
        <v>2.3189738625362999</v>
      </c>
      <c r="AP458" s="225"/>
      <c r="AQ458" s="226">
        <f t="shared" si="322"/>
        <v>2434.2648266363108</v>
      </c>
      <c r="AR458" s="226">
        <f t="shared" si="323"/>
        <v>2.590032559880189E-3</v>
      </c>
      <c r="AS458" s="228">
        <f>AR458*'DADOS BASE'!W$38</f>
        <v>776944.41547913407</v>
      </c>
      <c r="AT458" s="225"/>
      <c r="AU458" s="227">
        <v>16</v>
      </c>
      <c r="AV458" s="227">
        <v>20</v>
      </c>
      <c r="AW458" s="226">
        <f t="shared" si="324"/>
        <v>4</v>
      </c>
      <c r="AX458" s="226">
        <f>IF($AW$11&gt;0,(AW458/$AW$11)*'DADOS BASE'!W$40,0)</f>
        <v>718.70549707664884</v>
      </c>
      <c r="AY458" s="226">
        <f t="shared" si="325"/>
        <v>9.2758954501451996</v>
      </c>
      <c r="AZ458" s="226">
        <f t="shared" si="326"/>
        <v>4.8513225838160359E-4</v>
      </c>
      <c r="BA458" s="226">
        <f>AZ458*'DADOS BASE'!W$41</f>
        <v>3584.086184047947</v>
      </c>
      <c r="BB458" s="225"/>
      <c r="BC458" s="227">
        <v>0</v>
      </c>
      <c r="BD458" s="226">
        <f>IF($BC$11&gt;0,(BC458/$BC$11)*'DADOS BASE'!W$39,0)</f>
        <v>0</v>
      </c>
      <c r="BE458" s="187"/>
    </row>
    <row r="459" spans="2:57" x14ac:dyDescent="0.3">
      <c r="B459" s="184" t="s">
        <v>558</v>
      </c>
      <c r="C459" s="184" t="s">
        <v>567</v>
      </c>
      <c r="D459" s="184" t="s">
        <v>94</v>
      </c>
      <c r="E459" s="184">
        <v>2009</v>
      </c>
      <c r="F459" s="185"/>
      <c r="H459" s="186">
        <f ca="1">IF(AND(E459&gt;=2018,SUMIF('DADOS BASE'!$C$101:$D$104,D459,'DADOS BASE'!$H$101:$H$104)&gt;J459),
SUMIF('DADOS BASE'!$C$101:$D$104,D459,'DADOS BASE'!$H$101:$H$104),
J459)</f>
        <v>2332761.1537020188</v>
      </c>
      <c r="J459" s="186">
        <f t="shared" si="315"/>
        <v>2332761.1537020188</v>
      </c>
      <c r="K459" s="186"/>
      <c r="L459" s="188">
        <v>2368.9200394482</v>
      </c>
      <c r="M459" s="186">
        <f t="shared" si="316"/>
        <v>1.8481216300329463E-3</v>
      </c>
      <c r="N459" s="186">
        <f>L459*'DADOS BASE'!$I$29</f>
        <v>2332761.1537020188</v>
      </c>
      <c r="O459" s="187"/>
      <c r="P459" s="188">
        <v>0</v>
      </c>
      <c r="Q459" s="186">
        <f>P459*'DADOS BASE'!$I$33</f>
        <v>0</v>
      </c>
      <c r="R459" s="186"/>
      <c r="S459" s="188">
        <v>0</v>
      </c>
      <c r="T459" s="186">
        <f>S459*'DADOS BASE'!$I$37</f>
        <v>0</v>
      </c>
      <c r="U459" s="186"/>
      <c r="V459" s="186">
        <f t="shared" si="317"/>
        <v>0</v>
      </c>
      <c r="W459" s="187"/>
      <c r="X459" s="186"/>
      <c r="Y459" s="186"/>
      <c r="Z459" s="185"/>
      <c r="AA459" s="186"/>
      <c r="AB459" s="186"/>
      <c r="AC459" s="186"/>
      <c r="AD459" s="186"/>
      <c r="AE459" s="188">
        <v>1519</v>
      </c>
      <c r="AF459" s="188">
        <v>1127.5974874461999</v>
      </c>
      <c r="AG459" s="186" t="s">
        <v>155</v>
      </c>
      <c r="AH459" s="189">
        <v>0.7</v>
      </c>
      <c r="AI459" s="183">
        <f t="shared" si="318"/>
        <v>789.3182412123399</v>
      </c>
      <c r="AJ459" s="186">
        <f t="shared" si="319"/>
        <v>-3.0114116827329871E-2</v>
      </c>
      <c r="AK459" s="186"/>
      <c r="AL459" s="186">
        <f t="shared" si="320"/>
        <v>185.08716959501481</v>
      </c>
      <c r="AM459" s="187">
        <f t="shared" si="321"/>
        <v>208703.8273938674</v>
      </c>
      <c r="AN459" s="186"/>
      <c r="AO459" s="188">
        <v>2.2195555555555999</v>
      </c>
      <c r="AQ459" s="186">
        <f t="shared" si="322"/>
        <v>2502.7652676917487</v>
      </c>
      <c r="AR459" s="186">
        <f t="shared" si="323"/>
        <v>2.6629163195921084E-3</v>
      </c>
      <c r="AS459" s="187">
        <f>AR459*'DADOS BASE'!W$38</f>
        <v>798807.70436764066</v>
      </c>
      <c r="AU459" s="188">
        <v>0</v>
      </c>
      <c r="AV459" s="188">
        <v>0</v>
      </c>
      <c r="AW459" s="186">
        <f t="shared" si="324"/>
        <v>0</v>
      </c>
      <c r="AX459" s="186">
        <f>IF($AW$11&gt;0,(AW459/$AW$11)*'DADOS BASE'!W$40,0)</f>
        <v>0</v>
      </c>
      <c r="AY459" s="186">
        <f t="shared" si="325"/>
        <v>0</v>
      </c>
      <c r="AZ459" s="186">
        <f t="shared" si="326"/>
        <v>0</v>
      </c>
      <c r="BA459" s="186">
        <f>AZ459*'DADOS BASE'!W$41</f>
        <v>0</v>
      </c>
      <c r="BC459" s="188">
        <v>0</v>
      </c>
      <c r="BD459" s="186">
        <f>IF($BC$11&gt;0,(BC459/$BC$11)*'DADOS BASE'!W$39,0)</f>
        <v>0</v>
      </c>
      <c r="BE459" s="187"/>
    </row>
    <row r="460" spans="2:57" x14ac:dyDescent="0.3">
      <c r="B460" s="223" t="s">
        <v>558</v>
      </c>
      <c r="C460" s="223" t="s">
        <v>568</v>
      </c>
      <c r="D460" s="223" t="s">
        <v>94</v>
      </c>
      <c r="E460" s="223">
        <v>2013</v>
      </c>
      <c r="F460" s="224"/>
      <c r="G460" s="225"/>
      <c r="H460" s="226">
        <f ca="1">IF(AND(E460&gt;=2018,SUMIF('DADOS BASE'!$C$101:$D$104,D460,'DADOS BASE'!$H$101:$H$104)&gt;J460),
SUMIF('DADOS BASE'!$C$101:$D$104,D460,'DADOS BASE'!$H$101:$H$104),
J460)</f>
        <v>1444999.8968015686</v>
      </c>
      <c r="I460" s="225"/>
      <c r="J460" s="226">
        <f t="shared" si="315"/>
        <v>1444999.8968015686</v>
      </c>
      <c r="K460" s="226"/>
      <c r="L460" s="227">
        <v>1467.3980690656999</v>
      </c>
      <c r="M460" s="226">
        <f t="shared" si="316"/>
        <v>1.1447959686898498E-3</v>
      </c>
      <c r="N460" s="226">
        <f>L460*'DADOS BASE'!$I$29</f>
        <v>1444999.8968015686</v>
      </c>
      <c r="O460" s="228"/>
      <c r="P460" s="227">
        <v>0</v>
      </c>
      <c r="Q460" s="226">
        <f>P460*'DADOS BASE'!$I$33</f>
        <v>0</v>
      </c>
      <c r="R460" s="226"/>
      <c r="S460" s="227">
        <v>0</v>
      </c>
      <c r="T460" s="226">
        <f>S460*'DADOS BASE'!$I$37</f>
        <v>0</v>
      </c>
      <c r="U460" s="226"/>
      <c r="V460" s="226">
        <f t="shared" si="317"/>
        <v>0</v>
      </c>
      <c r="W460" s="228"/>
      <c r="X460" s="226"/>
      <c r="Y460" s="226"/>
      <c r="Z460" s="224"/>
      <c r="AA460" s="226"/>
      <c r="AB460" s="226"/>
      <c r="AC460" s="226"/>
      <c r="AD460" s="226"/>
      <c r="AE460" s="227">
        <v>931</v>
      </c>
      <c r="AF460" s="227">
        <v>666.84583428840995</v>
      </c>
      <c r="AG460" s="226" t="s">
        <v>155</v>
      </c>
      <c r="AH460" s="229">
        <v>0.63400000000000001</v>
      </c>
      <c r="AI460" s="225">
        <f t="shared" si="318"/>
        <v>422.78025893885189</v>
      </c>
      <c r="AJ460" s="226">
        <f t="shared" si="319"/>
        <v>-0.11913452499059661</v>
      </c>
      <c r="AK460" s="226"/>
      <c r="AL460" s="226">
        <f t="shared" si="320"/>
        <v>201.08203376975149</v>
      </c>
      <c r="AM460" s="228">
        <f t="shared" si="321"/>
        <v>134090.71656960016</v>
      </c>
      <c r="AN460" s="226"/>
      <c r="AO460" s="227">
        <v>2.2546125461255002</v>
      </c>
      <c r="AP460" s="225"/>
      <c r="AQ460" s="226">
        <f t="shared" si="322"/>
        <v>1503.4789843181754</v>
      </c>
      <c r="AR460" s="226">
        <f t="shared" si="323"/>
        <v>1.5996860653245018E-3</v>
      </c>
      <c r="AS460" s="228">
        <f>AR460*'DADOS BASE'!W$38</f>
        <v>479865.4558347151</v>
      </c>
      <c r="AT460" s="225"/>
      <c r="AU460" s="227">
        <v>0</v>
      </c>
      <c r="AV460" s="227">
        <v>0</v>
      </c>
      <c r="AW460" s="226">
        <f t="shared" si="324"/>
        <v>0</v>
      </c>
      <c r="AX460" s="226">
        <f>IF($AW$11&gt;0,(AW460/$AW$11)*'DADOS BASE'!W$40,0)</f>
        <v>0</v>
      </c>
      <c r="AY460" s="226">
        <f t="shared" si="325"/>
        <v>0</v>
      </c>
      <c r="AZ460" s="226">
        <f t="shared" si="326"/>
        <v>0</v>
      </c>
      <c r="BA460" s="226">
        <f>AZ460*'DADOS BASE'!W$41</f>
        <v>0</v>
      </c>
      <c r="BB460" s="225"/>
      <c r="BC460" s="227">
        <v>0</v>
      </c>
      <c r="BD460" s="226">
        <f>IF($BC$11&gt;0,(BC460/$BC$11)*'DADOS BASE'!W$39,0)</f>
        <v>0</v>
      </c>
      <c r="BE460" s="187"/>
    </row>
    <row r="461" spans="2:57" x14ac:dyDescent="0.3">
      <c r="B461" s="184" t="s">
        <v>558</v>
      </c>
      <c r="C461" s="184" t="s">
        <v>569</v>
      </c>
      <c r="D461" s="184" t="s">
        <v>94</v>
      </c>
      <c r="E461" s="184">
        <v>2009</v>
      </c>
      <c r="F461" s="185"/>
      <c r="H461" s="186">
        <f ca="1">IF(AND(E461&gt;=2018,SUMIF('DADOS BASE'!$C$101:$D$104,D461,'DADOS BASE'!$H$101:$H$104)&gt;J461),
SUMIF('DADOS BASE'!$C$101:$D$104,D461,'DADOS BASE'!$H$101:$H$104),
J461)</f>
        <v>2408723.0032404945</v>
      </c>
      <c r="J461" s="186">
        <f t="shared" si="315"/>
        <v>2408723.0032404945</v>
      </c>
      <c r="K461" s="186"/>
      <c r="L461" s="188">
        <v>2424.4593330787002</v>
      </c>
      <c r="M461" s="186">
        <f t="shared" si="316"/>
        <v>1.8914508130218274E-3</v>
      </c>
      <c r="N461" s="186">
        <f>L461*'DADOS BASE'!$I$29</f>
        <v>2387452.7028162978</v>
      </c>
      <c r="O461" s="187"/>
      <c r="P461" s="188">
        <v>0</v>
      </c>
      <c r="Q461" s="186">
        <f>P461*'DADOS BASE'!$I$33</f>
        <v>0</v>
      </c>
      <c r="R461" s="186"/>
      <c r="S461" s="188">
        <v>27</v>
      </c>
      <c r="T461" s="186">
        <f>S461*'DADOS BASE'!$I$37</f>
        <v>21270.30042419691</v>
      </c>
      <c r="U461" s="186"/>
      <c r="V461" s="186">
        <f t="shared" si="317"/>
        <v>21270.30042419691</v>
      </c>
      <c r="W461" s="187"/>
      <c r="X461" s="186"/>
      <c r="Y461" s="186"/>
      <c r="Z461" s="185"/>
      <c r="AA461" s="186"/>
      <c r="AB461" s="186"/>
      <c r="AC461" s="186"/>
      <c r="AD461" s="186"/>
      <c r="AE461" s="188">
        <v>1613</v>
      </c>
      <c r="AF461" s="188">
        <v>1149.3459149226001</v>
      </c>
      <c r="AG461" s="186" t="s">
        <v>155</v>
      </c>
      <c r="AH461" s="189">
        <v>0.68700000000000006</v>
      </c>
      <c r="AI461" s="183">
        <f t="shared" si="318"/>
        <v>789.60064355182635</v>
      </c>
      <c r="AJ461" s="186">
        <f t="shared" si="319"/>
        <v>-4.764843964736714E-2</v>
      </c>
      <c r="AK461" s="186"/>
      <c r="AL461" s="186">
        <f t="shared" si="320"/>
        <v>188.23767314458414</v>
      </c>
      <c r="AM461" s="187">
        <f t="shared" si="321"/>
        <v>216350.20066326339</v>
      </c>
      <c r="AN461" s="186"/>
      <c r="AO461" s="188">
        <v>2.0550595238095002</v>
      </c>
      <c r="AQ461" s="186">
        <f t="shared" si="322"/>
        <v>2361.9742686132327</v>
      </c>
      <c r="AR461" s="186">
        <f t="shared" si="323"/>
        <v>2.5131161549751388E-3</v>
      </c>
      <c r="AS461" s="187">
        <f>AR461*'DADOS BASE'!W$38</f>
        <v>753871.43478561146</v>
      </c>
      <c r="AU461" s="188">
        <v>27</v>
      </c>
      <c r="AV461" s="188">
        <v>33.75</v>
      </c>
      <c r="AW461" s="186">
        <f t="shared" si="324"/>
        <v>6.75</v>
      </c>
      <c r="AX461" s="186">
        <f>IF($AW$11&gt;0,(AW461/$AW$11)*'DADOS BASE'!W$40,0)</f>
        <v>1212.8155263168449</v>
      </c>
      <c r="AY461" s="186">
        <f t="shared" si="325"/>
        <v>13.871651785714127</v>
      </c>
      <c r="AZ461" s="186">
        <f t="shared" si="326"/>
        <v>7.2549176459091693E-4</v>
      </c>
      <c r="BA461" s="186">
        <f>AZ461*'DADOS BASE'!W$41</f>
        <v>5359.8270681590948</v>
      </c>
      <c r="BC461" s="188">
        <v>0</v>
      </c>
      <c r="BD461" s="186">
        <f>IF($BC$11&gt;0,(BC461/$BC$11)*'DADOS BASE'!W$39,0)</f>
        <v>0</v>
      </c>
      <c r="BE461" s="187"/>
    </row>
    <row r="462" spans="2:57" x14ac:dyDescent="0.3">
      <c r="B462" s="223" t="s">
        <v>558</v>
      </c>
      <c r="C462" s="223" t="s">
        <v>570</v>
      </c>
      <c r="D462" s="223" t="s">
        <v>94</v>
      </c>
      <c r="E462" s="223">
        <v>2010</v>
      </c>
      <c r="F462" s="224"/>
      <c r="G462" s="225"/>
      <c r="H462" s="226">
        <f ca="1">IF(AND(E462&gt;=2018,SUMIF('DADOS BASE'!$C$101:$D$104,D462,'DADOS BASE'!$H$101:$H$104)&gt;J462),
SUMIF('DADOS BASE'!$C$101:$D$104,D462,'DADOS BASE'!$H$101:$H$104),
J462)</f>
        <v>1774059.614257246</v>
      </c>
      <c r="I462" s="225"/>
      <c r="J462" s="226">
        <f t="shared" si="315"/>
        <v>1774059.614257246</v>
      </c>
      <c r="K462" s="226"/>
      <c r="L462" s="227">
        <v>1760.9019082948</v>
      </c>
      <c r="M462" s="226">
        <f t="shared" si="316"/>
        <v>1.3737740619746541E-3</v>
      </c>
      <c r="N462" s="226">
        <f>L462*'DADOS BASE'!$I$29</f>
        <v>1734023.7318042608</v>
      </c>
      <c r="O462" s="228"/>
      <c r="P462" s="227">
        <v>0</v>
      </c>
      <c r="Q462" s="226">
        <f>P462*'DADOS BASE'!$I$33</f>
        <v>0</v>
      </c>
      <c r="R462" s="226"/>
      <c r="S462" s="227">
        <v>50.82057162676</v>
      </c>
      <c r="T462" s="226">
        <f>S462*'DADOS BASE'!$I$37</f>
        <v>40035.882452985286</v>
      </c>
      <c r="U462" s="226"/>
      <c r="V462" s="226">
        <f t="shared" si="317"/>
        <v>40035.882452985286</v>
      </c>
      <c r="W462" s="228"/>
      <c r="X462" s="226"/>
      <c r="Y462" s="226"/>
      <c r="Z462" s="224"/>
      <c r="AA462" s="226"/>
      <c r="AB462" s="226"/>
      <c r="AC462" s="226"/>
      <c r="AD462" s="226"/>
      <c r="AE462" s="227">
        <v>1021</v>
      </c>
      <c r="AF462" s="227">
        <v>760.47028652070003</v>
      </c>
      <c r="AG462" s="226" t="s">
        <v>155</v>
      </c>
      <c r="AH462" s="229">
        <v>0.6</v>
      </c>
      <c r="AI462" s="225">
        <f t="shared" si="318"/>
        <v>456.28217191241998</v>
      </c>
      <c r="AJ462" s="226">
        <f t="shared" si="319"/>
        <v>-0.16499352313530985</v>
      </c>
      <c r="AK462" s="226"/>
      <c r="AL462" s="226">
        <f t="shared" si="320"/>
        <v>209.32181228400981</v>
      </c>
      <c r="AM462" s="228">
        <f t="shared" si="321"/>
        <v>159183.01856265313</v>
      </c>
      <c r="AN462" s="226"/>
      <c r="AO462" s="227">
        <v>2.0606641123883001</v>
      </c>
      <c r="AP462" s="225"/>
      <c r="AQ462" s="226">
        <f t="shared" si="322"/>
        <v>1567.0738279708546</v>
      </c>
      <c r="AR462" s="226">
        <f t="shared" si="323"/>
        <v>1.667350320215179E-3</v>
      </c>
      <c r="AS462" s="228">
        <f>AR462*'DADOS BASE'!W$38</f>
        <v>500163.02497697336</v>
      </c>
      <c r="AT462" s="225"/>
      <c r="AU462" s="227">
        <v>50.82057162676</v>
      </c>
      <c r="AV462" s="227">
        <v>89.25</v>
      </c>
      <c r="AW462" s="226">
        <f t="shared" si="324"/>
        <v>12.70514290669</v>
      </c>
      <c r="AX462" s="226">
        <f>IF($AW$11&gt;0,(AW462/$AW$11)*'DADOS BASE'!W$40,0)</f>
        <v>2282.8140120456237</v>
      </c>
      <c r="AY462" s="226">
        <f t="shared" si="325"/>
        <v>26.181032030580855</v>
      </c>
      <c r="AZ462" s="226">
        <f t="shared" si="326"/>
        <v>1.3692762347335397E-3</v>
      </c>
      <c r="BA462" s="226">
        <f>AZ462*'DADOS BASE'!W$41</f>
        <v>10116.012592989366</v>
      </c>
      <c r="BB462" s="225"/>
      <c r="BC462" s="227">
        <v>0</v>
      </c>
      <c r="BD462" s="226">
        <f>IF($BC$11&gt;0,(BC462/$BC$11)*'DADOS BASE'!W$39,0)</f>
        <v>0</v>
      </c>
      <c r="BE462" s="187"/>
    </row>
    <row r="463" spans="2:57" x14ac:dyDescent="0.3">
      <c r="B463" s="184" t="s">
        <v>558</v>
      </c>
      <c r="C463" s="184" t="s">
        <v>571</v>
      </c>
      <c r="D463" s="184" t="s">
        <v>94</v>
      </c>
      <c r="E463" s="184">
        <v>2013</v>
      </c>
      <c r="F463" s="185"/>
      <c r="H463" s="186">
        <f ca="1">IF(AND(E463&gt;=2018,SUMIF('DADOS BASE'!$C$101:$D$104,D463,'DADOS BASE'!$H$101:$H$104)&gt;J463),
SUMIF('DADOS BASE'!$C$101:$D$104,D463,'DADOS BASE'!$H$101:$H$104),
J463)</f>
        <v>1147998.1676327758</v>
      </c>
      <c r="J463" s="186">
        <f t="shared" si="315"/>
        <v>1147998.1676327758</v>
      </c>
      <c r="K463" s="186"/>
      <c r="L463" s="188">
        <v>1165.7926745904999</v>
      </c>
      <c r="M463" s="186">
        <f t="shared" si="316"/>
        <v>9.0949741745885329E-4</v>
      </c>
      <c r="N463" s="186">
        <f>L463*'DADOS BASE'!$I$29</f>
        <v>1147998.1676327758</v>
      </c>
      <c r="O463" s="187"/>
      <c r="P463" s="188">
        <v>0</v>
      </c>
      <c r="Q463" s="186">
        <f>P463*'DADOS BASE'!$I$33</f>
        <v>0</v>
      </c>
      <c r="R463" s="186"/>
      <c r="S463" s="188">
        <v>0</v>
      </c>
      <c r="T463" s="186">
        <f>S463*'DADOS BASE'!$I$37</f>
        <v>0</v>
      </c>
      <c r="U463" s="186"/>
      <c r="V463" s="186">
        <f t="shared" si="317"/>
        <v>0</v>
      </c>
      <c r="W463" s="187"/>
      <c r="X463" s="186"/>
      <c r="Y463" s="186"/>
      <c r="Z463" s="185"/>
      <c r="AA463" s="186"/>
      <c r="AB463" s="186"/>
      <c r="AC463" s="186"/>
      <c r="AD463" s="186"/>
      <c r="AE463" s="188">
        <v>844</v>
      </c>
      <c r="AF463" s="188">
        <v>732.24047709420995</v>
      </c>
      <c r="AG463" s="186" t="s">
        <v>155</v>
      </c>
      <c r="AH463" s="189">
        <v>0.57099999999999995</v>
      </c>
      <c r="AI463" s="183">
        <f t="shared" si="318"/>
        <v>418.10931242079386</v>
      </c>
      <c r="AJ463" s="186">
        <f t="shared" si="319"/>
        <v>-0.20410855096462407</v>
      </c>
      <c r="AK463" s="186"/>
      <c r="AL463" s="186">
        <f t="shared" si="320"/>
        <v>216.34985866381837</v>
      </c>
      <c r="AM463" s="187">
        <f t="shared" si="321"/>
        <v>158420.12372725926</v>
      </c>
      <c r="AN463" s="186"/>
      <c r="AO463" s="188">
        <v>2.2319182389936998</v>
      </c>
      <c r="AQ463" s="186">
        <f t="shared" si="322"/>
        <v>1634.3008761560156</v>
      </c>
      <c r="AR463" s="186">
        <f t="shared" si="323"/>
        <v>1.7388792031037357E-3</v>
      </c>
      <c r="AS463" s="187">
        <f>AR463*'DADOS BASE'!W$38</f>
        <v>521619.88500513299</v>
      </c>
      <c r="AU463" s="188">
        <v>0</v>
      </c>
      <c r="AV463" s="188">
        <v>0</v>
      </c>
      <c r="AW463" s="186">
        <f t="shared" si="324"/>
        <v>0</v>
      </c>
      <c r="AX463" s="186">
        <f>IF($AW$11&gt;0,(AW463/$AW$11)*'DADOS BASE'!W$40,0)</f>
        <v>0</v>
      </c>
      <c r="AY463" s="186">
        <f t="shared" si="325"/>
        <v>0</v>
      </c>
      <c r="AZ463" s="186">
        <f t="shared" si="326"/>
        <v>0</v>
      </c>
      <c r="BA463" s="186">
        <f>AZ463*'DADOS BASE'!W$41</f>
        <v>0</v>
      </c>
      <c r="BC463" s="188">
        <v>0</v>
      </c>
      <c r="BD463" s="186">
        <f>IF($BC$11&gt;0,(BC463/$BC$11)*'DADOS BASE'!W$39,0)</f>
        <v>0</v>
      </c>
      <c r="BE463" s="187"/>
    </row>
    <row r="464" spans="2:57" x14ac:dyDescent="0.3">
      <c r="B464" s="223" t="s">
        <v>558</v>
      </c>
      <c r="C464" s="223" t="s">
        <v>572</v>
      </c>
      <c r="D464" s="223" t="s">
        <v>94</v>
      </c>
      <c r="E464" s="223">
        <v>2009</v>
      </c>
      <c r="F464" s="224"/>
      <c r="G464" s="225"/>
      <c r="H464" s="226">
        <f ca="1">IF(AND(E464&gt;=2018,SUMIF('DADOS BASE'!$C$101:$D$104,D464,'DADOS BASE'!$H$101:$H$104)&gt;J464),
SUMIF('DADOS BASE'!$C$101:$D$104,D464,'DADOS BASE'!$H$101:$H$104),
J464)</f>
        <v>2022403.9756725093</v>
      </c>
      <c r="I464" s="225"/>
      <c r="J464" s="226">
        <f t="shared" si="315"/>
        <v>2022403.9756725093</v>
      </c>
      <c r="K464" s="226"/>
      <c r="L464" s="227">
        <v>2037.5825379344001</v>
      </c>
      <c r="M464" s="226">
        <f t="shared" si="316"/>
        <v>1.589627466789106E-3</v>
      </c>
      <c r="N464" s="226">
        <f>L464*'DADOS BASE'!$I$29</f>
        <v>2006481.1444889947</v>
      </c>
      <c r="O464" s="228"/>
      <c r="P464" s="227">
        <v>0</v>
      </c>
      <c r="Q464" s="226">
        <f>P464*'DADOS BASE'!$I$33</f>
        <v>0</v>
      </c>
      <c r="R464" s="226"/>
      <c r="S464" s="227">
        <v>20.212053115423998</v>
      </c>
      <c r="T464" s="226">
        <f>S464*'DADOS BASE'!$I$37</f>
        <v>15922.831183514576</v>
      </c>
      <c r="U464" s="226"/>
      <c r="V464" s="226">
        <f t="shared" si="317"/>
        <v>15922.831183514576</v>
      </c>
      <c r="W464" s="228"/>
      <c r="X464" s="226"/>
      <c r="Y464" s="226"/>
      <c r="Z464" s="224"/>
      <c r="AA464" s="226"/>
      <c r="AB464" s="226"/>
      <c r="AC464" s="226"/>
      <c r="AD464" s="226"/>
      <c r="AE464" s="227">
        <v>1395</v>
      </c>
      <c r="AF464" s="227">
        <v>1014.3262923725</v>
      </c>
      <c r="AG464" s="226" t="s">
        <v>155</v>
      </c>
      <c r="AH464" s="229">
        <v>0.69799999999999995</v>
      </c>
      <c r="AI464" s="225">
        <f t="shared" si="318"/>
        <v>707.99975207600494</v>
      </c>
      <c r="AJ464" s="226">
        <f t="shared" si="319"/>
        <v>-3.2811704953489472E-2</v>
      </c>
      <c r="AK464" s="226"/>
      <c r="AL464" s="226">
        <f t="shared" si="320"/>
        <v>185.57186244879472</v>
      </c>
      <c r="AM464" s="228">
        <f t="shared" si="321"/>
        <v>188230.41920634551</v>
      </c>
      <c r="AN464" s="226"/>
      <c r="AO464" s="227">
        <v>2.2655172413793001</v>
      </c>
      <c r="AP464" s="225"/>
      <c r="AQ464" s="226">
        <f t="shared" si="322"/>
        <v>2297.9737037542395</v>
      </c>
      <c r="AR464" s="226">
        <f t="shared" si="323"/>
        <v>2.4450202169236618E-3</v>
      </c>
      <c r="AS464" s="228">
        <f>AR464*'DADOS BASE'!W$38</f>
        <v>733444.37158747332</v>
      </c>
      <c r="AT464" s="225"/>
      <c r="AU464" s="227">
        <v>20.212053115423998</v>
      </c>
      <c r="AV464" s="227">
        <v>39.5</v>
      </c>
      <c r="AW464" s="226">
        <f t="shared" si="324"/>
        <v>5.0530132788559996</v>
      </c>
      <c r="AX464" s="226">
        <f>IF($AW$11&gt;0,(AW464/$AW$11)*'DADOS BASE'!W$40,0)</f>
        <v>907.90710507877714</v>
      </c>
      <c r="AY464" s="226">
        <f t="shared" si="325"/>
        <v>11.447688704166817</v>
      </c>
      <c r="AZ464" s="226">
        <f t="shared" si="326"/>
        <v>5.9871773071947334E-4</v>
      </c>
      <c r="BA464" s="226">
        <f>AZ464*'DADOS BASE'!W$41</f>
        <v>4423.2390440799745</v>
      </c>
      <c r="BB464" s="225"/>
      <c r="BC464" s="227">
        <v>0</v>
      </c>
      <c r="BD464" s="226">
        <f>IF($BC$11&gt;0,(BC464/$BC$11)*'DADOS BASE'!W$39,0)</f>
        <v>0</v>
      </c>
      <c r="BE464" s="187"/>
    </row>
    <row r="465" spans="2:57" x14ac:dyDescent="0.3">
      <c r="B465" s="184" t="s">
        <v>558</v>
      </c>
      <c r="C465" s="184" t="s">
        <v>573</v>
      </c>
      <c r="D465" s="184" t="s">
        <v>94</v>
      </c>
      <c r="E465" s="184">
        <v>2010</v>
      </c>
      <c r="F465" s="185"/>
      <c r="H465" s="186">
        <f ca="1">IF(AND(E465&gt;=2018,SUMIF('DADOS BASE'!$C$101:$D$104,D465,'DADOS BASE'!$H$101:$H$104)&gt;J465),
SUMIF('DADOS BASE'!$C$101:$D$104,D465,'DADOS BASE'!$H$101:$H$104),
J465)</f>
        <v>1448819.9710002295</v>
      </c>
      <c r="J465" s="186">
        <f t="shared" si="315"/>
        <v>1448819.9710002295</v>
      </c>
      <c r="K465" s="186"/>
      <c r="L465" s="188">
        <v>1471.2773561959</v>
      </c>
      <c r="M465" s="186">
        <f t="shared" si="316"/>
        <v>1.1478224087279447E-3</v>
      </c>
      <c r="N465" s="186">
        <f>L465*'DADOS BASE'!$I$29</f>
        <v>1448819.9710002295</v>
      </c>
      <c r="O465" s="187"/>
      <c r="P465" s="188">
        <v>0</v>
      </c>
      <c r="Q465" s="186">
        <f>P465*'DADOS BASE'!$I$33</f>
        <v>0</v>
      </c>
      <c r="R465" s="186"/>
      <c r="S465" s="188">
        <v>0</v>
      </c>
      <c r="T465" s="186">
        <f>S465*'DADOS BASE'!$I$37</f>
        <v>0</v>
      </c>
      <c r="U465" s="186"/>
      <c r="V465" s="186">
        <f t="shared" si="317"/>
        <v>0</v>
      </c>
      <c r="W465" s="187"/>
      <c r="X465" s="186"/>
      <c r="Y465" s="186"/>
      <c r="Z465" s="185"/>
      <c r="AA465" s="186"/>
      <c r="AB465" s="186"/>
      <c r="AC465" s="186"/>
      <c r="AD465" s="186"/>
      <c r="AE465" s="188">
        <v>1095</v>
      </c>
      <c r="AF465" s="188">
        <v>824.16856701388997</v>
      </c>
      <c r="AG465" s="186" t="s">
        <v>155</v>
      </c>
      <c r="AH465" s="189">
        <v>0.63500000000000001</v>
      </c>
      <c r="AI465" s="183">
        <f t="shared" si="318"/>
        <v>523.34704005382014</v>
      </c>
      <c r="AJ465" s="186">
        <f t="shared" si="319"/>
        <v>-0.1177857309275168</v>
      </c>
      <c r="AK465" s="186"/>
      <c r="AL465" s="186">
        <f t="shared" si="320"/>
        <v>200.83968734286157</v>
      </c>
      <c r="AM465" s="187">
        <f t="shared" si="321"/>
        <v>165525.75731688392</v>
      </c>
      <c r="AN465" s="186"/>
      <c r="AO465" s="188">
        <v>2.2895500725689</v>
      </c>
      <c r="AQ465" s="186">
        <f t="shared" si="322"/>
        <v>1886.975202415658</v>
      </c>
      <c r="AR465" s="186">
        <f t="shared" si="323"/>
        <v>2.0077220688828742E-3</v>
      </c>
      <c r="AS465" s="187">
        <f>AR465*'DADOS BASE'!W$38</f>
        <v>602265.96121437196</v>
      </c>
      <c r="AU465" s="188">
        <v>0</v>
      </c>
      <c r="AV465" s="188">
        <v>0</v>
      </c>
      <c r="AW465" s="186">
        <f t="shared" si="324"/>
        <v>0</v>
      </c>
      <c r="AX465" s="186">
        <f>IF($AW$11&gt;0,(AW465/$AW$11)*'DADOS BASE'!W$40,0)</f>
        <v>0</v>
      </c>
      <c r="AY465" s="186">
        <f t="shared" si="325"/>
        <v>0</v>
      </c>
      <c r="AZ465" s="186">
        <f t="shared" si="326"/>
        <v>0</v>
      </c>
      <c r="BA465" s="186">
        <f>AZ465*'DADOS BASE'!W$41</f>
        <v>0</v>
      </c>
      <c r="BC465" s="188">
        <v>0</v>
      </c>
      <c r="BD465" s="186">
        <f>IF($BC$11&gt;0,(BC465/$BC$11)*'DADOS BASE'!W$39,0)</f>
        <v>0</v>
      </c>
      <c r="BE465" s="187"/>
    </row>
    <row r="466" spans="2:57" x14ac:dyDescent="0.3">
      <c r="B466" s="223" t="s">
        <v>558</v>
      </c>
      <c r="C466" s="223" t="s">
        <v>574</v>
      </c>
      <c r="D466" s="223" t="s">
        <v>94</v>
      </c>
      <c r="E466" s="223">
        <v>2013</v>
      </c>
      <c r="F466" s="224"/>
      <c r="G466" s="225"/>
      <c r="H466" s="226">
        <f ca="1">IF(AND(E466&gt;=2018,SUMIF('DADOS BASE'!$C$101:$D$104,D466,'DADOS BASE'!$H$101:$H$104)&gt;J466),
SUMIF('DADOS BASE'!$C$101:$D$104,D466,'DADOS BASE'!$H$101:$H$104),
J466)</f>
        <v>1656294.5302800988</v>
      </c>
      <c r="I466" s="225"/>
      <c r="J466" s="226">
        <f t="shared" si="315"/>
        <v>1656294.5302800988</v>
      </c>
      <c r="K466" s="226"/>
      <c r="L466" s="227">
        <v>1627.9723500340999</v>
      </c>
      <c r="M466" s="226">
        <f t="shared" si="316"/>
        <v>1.2700685810798455E-3</v>
      </c>
      <c r="N466" s="226">
        <f>L466*'DADOS BASE'!$I$29</f>
        <v>1603123.1929403313</v>
      </c>
      <c r="O466" s="228"/>
      <c r="P466" s="227">
        <v>0</v>
      </c>
      <c r="Q466" s="226">
        <f>P466*'DADOS BASE'!$I$33</f>
        <v>0</v>
      </c>
      <c r="R466" s="226"/>
      <c r="S466" s="227">
        <v>67.494397330682006</v>
      </c>
      <c r="T466" s="226">
        <f>S466*'DADOS BASE'!$I$37</f>
        <v>53171.337339767415</v>
      </c>
      <c r="U466" s="226"/>
      <c r="V466" s="226">
        <f t="shared" si="317"/>
        <v>53171.337339767415</v>
      </c>
      <c r="W466" s="228"/>
      <c r="X466" s="226"/>
      <c r="Y466" s="226"/>
      <c r="Z466" s="224"/>
      <c r="AA466" s="226"/>
      <c r="AB466" s="226"/>
      <c r="AC466" s="226"/>
      <c r="AD466" s="226"/>
      <c r="AE466" s="227">
        <v>771</v>
      </c>
      <c r="AF466" s="227">
        <v>688.50780261568002</v>
      </c>
      <c r="AG466" s="226" t="s">
        <v>155</v>
      </c>
      <c r="AH466" s="229">
        <v>0.64500000000000002</v>
      </c>
      <c r="AI466" s="225">
        <f t="shared" si="318"/>
        <v>444.08753268711365</v>
      </c>
      <c r="AJ466" s="226">
        <f t="shared" si="319"/>
        <v>-0.10429779029671879</v>
      </c>
      <c r="AK466" s="226"/>
      <c r="AL466" s="226">
        <f t="shared" si="320"/>
        <v>198.41622307396204</v>
      </c>
      <c r="AM466" s="228">
        <f t="shared" si="321"/>
        <v>136611.11775195619</v>
      </c>
      <c r="AN466" s="226"/>
      <c r="AO466" s="227">
        <v>1.9409158050222</v>
      </c>
      <c r="AP466" s="225"/>
      <c r="AQ466" s="226">
        <f t="shared" si="322"/>
        <v>1336.3356759778785</v>
      </c>
      <c r="AR466" s="226">
        <f t="shared" si="323"/>
        <v>1.4218473166269505E-3</v>
      </c>
      <c r="AS466" s="228">
        <f>AR466*'DADOS BASE'!W$38</f>
        <v>426518.31850654533</v>
      </c>
      <c r="AT466" s="225"/>
      <c r="AU466" s="227">
        <v>67.494397330682006</v>
      </c>
      <c r="AV466" s="227">
        <v>113.5</v>
      </c>
      <c r="AW466" s="226">
        <f t="shared" si="324"/>
        <v>16.873599332670501</v>
      </c>
      <c r="AX466" s="226">
        <f>IF($AW$11&gt;0,(AW466/$AW$11)*'DADOS BASE'!W$40,0)</f>
        <v>3031.7871489647905</v>
      </c>
      <c r="AY466" s="226">
        <f t="shared" si="325"/>
        <v>32.750235632392226</v>
      </c>
      <c r="AZ466" s="226">
        <f t="shared" si="326"/>
        <v>1.7128476555461178E-3</v>
      </c>
      <c r="BA466" s="226">
        <f>AZ466*'DADOS BASE'!W$41</f>
        <v>12654.268009514311</v>
      </c>
      <c r="BB466" s="225"/>
      <c r="BC466" s="227">
        <v>0</v>
      </c>
      <c r="BD466" s="226">
        <f>IF($BC$11&gt;0,(BC466/$BC$11)*'DADOS BASE'!W$39,0)</f>
        <v>0</v>
      </c>
      <c r="BE466" s="187"/>
    </row>
    <row r="467" spans="2:57" x14ac:dyDescent="0.3">
      <c r="B467" s="184" t="s">
        <v>558</v>
      </c>
      <c r="C467" s="184" t="s">
        <v>575</v>
      </c>
      <c r="D467" s="184" t="s">
        <v>94</v>
      </c>
      <c r="E467" s="184">
        <v>2010</v>
      </c>
      <c r="F467" s="185"/>
      <c r="H467" s="186">
        <f ca="1">IF(AND(E467&gt;=2018,SUMIF('DADOS BASE'!$C$101:$D$104,D467,'DADOS BASE'!$H$101:$H$104)&gt;J467),
SUMIF('DADOS BASE'!$C$101:$D$104,D467,'DADOS BASE'!$H$101:$H$104),
J467)</f>
        <v>1576305.3201442626</v>
      </c>
      <c r="J467" s="186">
        <f t="shared" si="315"/>
        <v>1576305.3201442626</v>
      </c>
      <c r="K467" s="186"/>
      <c r="L467" s="188">
        <v>1600.7387877034</v>
      </c>
      <c r="M467" s="186">
        <f t="shared" si="316"/>
        <v>1.2488222178560617E-3</v>
      </c>
      <c r="N467" s="186">
        <f>L467*'DADOS BASE'!$I$29</f>
        <v>1576305.3201442626</v>
      </c>
      <c r="O467" s="187"/>
      <c r="P467" s="188">
        <v>0</v>
      </c>
      <c r="Q467" s="186">
        <f>P467*'DADOS BASE'!$I$33</f>
        <v>0</v>
      </c>
      <c r="R467" s="186"/>
      <c r="S467" s="188">
        <v>0</v>
      </c>
      <c r="T467" s="186">
        <f>S467*'DADOS BASE'!$I$37</f>
        <v>0</v>
      </c>
      <c r="U467" s="186"/>
      <c r="V467" s="186">
        <f t="shared" si="317"/>
        <v>0</v>
      </c>
      <c r="W467" s="187"/>
      <c r="X467" s="186"/>
      <c r="Y467" s="186"/>
      <c r="Z467" s="185"/>
      <c r="AA467" s="186"/>
      <c r="AB467" s="186"/>
      <c r="AC467" s="186"/>
      <c r="AD467" s="186"/>
      <c r="AE467" s="188">
        <v>1200</v>
      </c>
      <c r="AF467" s="188">
        <v>859.64867540728005</v>
      </c>
      <c r="AG467" s="186" t="s">
        <v>155</v>
      </c>
      <c r="AH467" s="189">
        <v>0.66100000000000003</v>
      </c>
      <c r="AI467" s="183">
        <f t="shared" si="318"/>
        <v>568.22777444421217</v>
      </c>
      <c r="AJ467" s="186">
        <f t="shared" si="319"/>
        <v>-8.2717085287441969E-2</v>
      </c>
      <c r="AK467" s="186"/>
      <c r="AL467" s="186">
        <f t="shared" si="320"/>
        <v>194.53868024372284</v>
      </c>
      <c r="AM467" s="187">
        <f t="shared" si="321"/>
        <v>167234.91878699674</v>
      </c>
      <c r="AN467" s="186"/>
      <c r="AO467" s="188">
        <v>2.1540106951871998</v>
      </c>
      <c r="AQ467" s="186">
        <f t="shared" si="322"/>
        <v>1851.6924409307908</v>
      </c>
      <c r="AR467" s="186">
        <f t="shared" si="323"/>
        <v>1.9701815761442236E-3</v>
      </c>
      <c r="AS467" s="187">
        <f>AR467*'DADOS BASE'!W$38</f>
        <v>591004.76062584389</v>
      </c>
      <c r="AU467" s="188">
        <v>0</v>
      </c>
      <c r="AV467" s="188">
        <v>0</v>
      </c>
      <c r="AW467" s="186">
        <f t="shared" si="324"/>
        <v>0</v>
      </c>
      <c r="AX467" s="186">
        <f>IF($AW$11&gt;0,(AW467/$AW$11)*'DADOS BASE'!W$40,0)</f>
        <v>0</v>
      </c>
      <c r="AY467" s="186">
        <f t="shared" si="325"/>
        <v>0</v>
      </c>
      <c r="AZ467" s="186">
        <f t="shared" si="326"/>
        <v>0</v>
      </c>
      <c r="BA467" s="186">
        <f>AZ467*'DADOS BASE'!W$41</f>
        <v>0</v>
      </c>
      <c r="BC467" s="188">
        <v>0</v>
      </c>
      <c r="BD467" s="186">
        <f>IF($BC$11&gt;0,(BC467/$BC$11)*'DADOS BASE'!W$39,0)</f>
        <v>0</v>
      </c>
      <c r="BE467" s="187"/>
    </row>
    <row r="468" spans="2:57" x14ac:dyDescent="0.3">
      <c r="B468" s="223" t="s">
        <v>558</v>
      </c>
      <c r="C468" s="223" t="s">
        <v>576</v>
      </c>
      <c r="D468" s="223" t="s">
        <v>94</v>
      </c>
      <c r="E468" s="223">
        <v>2009</v>
      </c>
      <c r="F468" s="224"/>
      <c r="G468" s="225"/>
      <c r="H468" s="226">
        <f ca="1">IF(AND(E468&gt;=2018,SUMIF('DADOS BASE'!$C$101:$D$104,D468,'DADOS BASE'!$H$101:$H$104)&gt;J468),
SUMIF('DADOS BASE'!$C$101:$D$104,D468,'DADOS BASE'!$H$101:$H$104),
J468)</f>
        <v>8836911.5059210807</v>
      </c>
      <c r="I468" s="225"/>
      <c r="J468" s="226">
        <f t="shared" si="315"/>
        <v>8836911.5059210807</v>
      </c>
      <c r="K468" s="226"/>
      <c r="L468" s="227">
        <v>8759.6945871806001</v>
      </c>
      <c r="M468" s="226">
        <f t="shared" si="316"/>
        <v>6.8339077594286122E-3</v>
      </c>
      <c r="N468" s="226">
        <f>L468*'DADOS BASE'!$I$29</f>
        <v>8625987.7543306891</v>
      </c>
      <c r="O468" s="228"/>
      <c r="P468" s="227">
        <v>790.85267241033</v>
      </c>
      <c r="Q468" s="226">
        <f>P468*'DADOS BASE'!$I$33</f>
        <v>194695.30015563313</v>
      </c>
      <c r="R468" s="226"/>
      <c r="S468" s="227">
        <v>20.6</v>
      </c>
      <c r="T468" s="226">
        <f>S468*'DADOS BASE'!$I$37</f>
        <v>16228.451434757644</v>
      </c>
      <c r="U468" s="226"/>
      <c r="V468" s="226">
        <f t="shared" si="317"/>
        <v>210923.75159039078</v>
      </c>
      <c r="W468" s="228"/>
      <c r="X468" s="226"/>
      <c r="Y468" s="226"/>
      <c r="Z468" s="224"/>
      <c r="AA468" s="226"/>
      <c r="AB468" s="226"/>
      <c r="AC468" s="226"/>
      <c r="AD468" s="226"/>
      <c r="AE468" s="227">
        <v>6998</v>
      </c>
      <c r="AF468" s="227">
        <v>4234.5394611515003</v>
      </c>
      <c r="AG468" s="226" t="s">
        <v>155</v>
      </c>
      <c r="AH468" s="229">
        <v>0.751</v>
      </c>
      <c r="AI468" s="225">
        <f t="shared" si="318"/>
        <v>3180.1391353247768</v>
      </c>
      <c r="AJ468" s="226">
        <f t="shared" si="319"/>
        <v>3.8674380389739998E-2</v>
      </c>
      <c r="AK468" s="226"/>
      <c r="AL468" s="226">
        <f t="shared" si="320"/>
        <v>172.72750182362734</v>
      </c>
      <c r="AM468" s="228">
        <f t="shared" si="321"/>
        <v>731421.42249826773</v>
      </c>
      <c r="AN468" s="226"/>
      <c r="AO468" s="227">
        <v>1.8682008368201</v>
      </c>
      <c r="AP468" s="225"/>
      <c r="AQ468" s="226">
        <f t="shared" si="322"/>
        <v>7910.9701648709679</v>
      </c>
      <c r="AR468" s="226">
        <f t="shared" si="323"/>
        <v>8.4171903085702333E-3</v>
      </c>
      <c r="AS468" s="228">
        <f>AR468*'DADOS BASE'!W$38</f>
        <v>2524944.7074793717</v>
      </c>
      <c r="AT468" s="225"/>
      <c r="AU468" s="227">
        <v>20.6</v>
      </c>
      <c r="AV468" s="227">
        <v>265.75</v>
      </c>
      <c r="AW468" s="226">
        <f t="shared" si="324"/>
        <v>5.15</v>
      </c>
      <c r="AX468" s="226">
        <f>IF($AW$11&gt;0,(AW468/$AW$11)*'DADOS BASE'!W$40,0)</f>
        <v>925.33332748618545</v>
      </c>
      <c r="AY468" s="226">
        <f t="shared" si="325"/>
        <v>9.6212343096235156</v>
      </c>
      <c r="AZ468" s="226">
        <f t="shared" si="326"/>
        <v>5.0319358967906022E-4</v>
      </c>
      <c r="BA468" s="226">
        <f>AZ468*'DADOS BASE'!W$41</f>
        <v>3717.5206585656319</v>
      </c>
      <c r="BB468" s="225"/>
      <c r="BC468" s="227">
        <v>0</v>
      </c>
      <c r="BD468" s="226">
        <f>IF($BC$11&gt;0,(BC468/$BC$11)*'DADOS BASE'!W$39,0)</f>
        <v>0</v>
      </c>
      <c r="BE468" s="187"/>
    </row>
    <row r="469" spans="2:57" x14ac:dyDescent="0.3">
      <c r="B469" s="184" t="s">
        <v>558</v>
      </c>
      <c r="C469" s="184" t="s">
        <v>577</v>
      </c>
      <c r="D469" s="184" t="s">
        <v>94</v>
      </c>
      <c r="E469" s="184">
        <v>2009</v>
      </c>
      <c r="F469" s="185"/>
      <c r="H469" s="186">
        <f ca="1">IF(AND(E469&gt;=2018,SUMIF('DADOS BASE'!$C$101:$D$104,D469,'DADOS BASE'!$H$101:$H$104)&gt;J469),
SUMIF('DADOS BASE'!$C$101:$D$104,D469,'DADOS BASE'!$H$101:$H$104),
J469)</f>
        <v>2914839.9181496799</v>
      </c>
      <c r="J469" s="186">
        <f t="shared" si="315"/>
        <v>2914839.9181496799</v>
      </c>
      <c r="K469" s="186"/>
      <c r="L469" s="188">
        <v>2960.0212961923999</v>
      </c>
      <c r="M469" s="186">
        <f t="shared" si="316"/>
        <v>2.309271436669339E-3</v>
      </c>
      <c r="N469" s="186">
        <f>L469*'DADOS BASE'!$I$29</f>
        <v>2914839.9181496799</v>
      </c>
      <c r="O469" s="187"/>
      <c r="P469" s="188">
        <v>0</v>
      </c>
      <c r="Q469" s="186">
        <f>P469*'DADOS BASE'!$I$33</f>
        <v>0</v>
      </c>
      <c r="R469" s="186"/>
      <c r="S469" s="188">
        <v>0</v>
      </c>
      <c r="T469" s="186">
        <f>S469*'DADOS BASE'!$I$37</f>
        <v>0</v>
      </c>
      <c r="U469" s="186"/>
      <c r="V469" s="186">
        <f t="shared" si="317"/>
        <v>0</v>
      </c>
      <c r="W469" s="187"/>
      <c r="X469" s="186"/>
      <c r="Y469" s="186"/>
      <c r="Z469" s="185"/>
      <c r="AA469" s="186"/>
      <c r="AB469" s="186"/>
      <c r="AC469" s="186"/>
      <c r="AD469" s="186"/>
      <c r="AE469" s="188">
        <v>2021</v>
      </c>
      <c r="AF469" s="188">
        <v>1205.8893204460001</v>
      </c>
      <c r="AG469" s="186" t="s">
        <v>155</v>
      </c>
      <c r="AH469" s="189">
        <v>0.751</v>
      </c>
      <c r="AI469" s="183">
        <f t="shared" si="318"/>
        <v>905.62287965494602</v>
      </c>
      <c r="AJ469" s="186">
        <f t="shared" si="319"/>
        <v>3.8674380389739998E-2</v>
      </c>
      <c r="AK469" s="186"/>
      <c r="AL469" s="186">
        <f t="shared" si="320"/>
        <v>172.72750182362734</v>
      </c>
      <c r="AM469" s="187">
        <f t="shared" si="321"/>
        <v>208290.24979642921</v>
      </c>
      <c r="AN469" s="186"/>
      <c r="AO469" s="188">
        <v>1.9203860072376</v>
      </c>
      <c r="AQ469" s="186">
        <f t="shared" si="322"/>
        <v>2315.7729772617568</v>
      </c>
      <c r="AR469" s="186">
        <f t="shared" si="323"/>
        <v>2.4639584595594825E-3</v>
      </c>
      <c r="AS469" s="187">
        <f>AR469*'DADOS BASE'!W$38</f>
        <v>739125.36652275338</v>
      </c>
      <c r="AU469" s="188">
        <v>0</v>
      </c>
      <c r="AV469" s="188">
        <v>0</v>
      </c>
      <c r="AW469" s="186">
        <f t="shared" si="324"/>
        <v>0</v>
      </c>
      <c r="AX469" s="186">
        <f>IF($AW$11&gt;0,(AW469/$AW$11)*'DADOS BASE'!W$40,0)</f>
        <v>0</v>
      </c>
      <c r="AY469" s="186">
        <f t="shared" si="325"/>
        <v>0</v>
      </c>
      <c r="AZ469" s="186">
        <f t="shared" si="326"/>
        <v>0</v>
      </c>
      <c r="BA469" s="186">
        <f>AZ469*'DADOS BASE'!W$41</f>
        <v>0</v>
      </c>
      <c r="BC469" s="188">
        <v>0</v>
      </c>
      <c r="BD469" s="186">
        <f>IF($BC$11&gt;0,(BC469/$BC$11)*'DADOS BASE'!W$39,0)</f>
        <v>0</v>
      </c>
      <c r="BE469" s="187"/>
    </row>
    <row r="470" spans="2:57" x14ac:dyDescent="0.3">
      <c r="B470" s="223" t="s">
        <v>558</v>
      </c>
      <c r="C470" s="223" t="s">
        <v>578</v>
      </c>
      <c r="D470" s="223" t="s">
        <v>92</v>
      </c>
      <c r="E470" s="223">
        <v>2010</v>
      </c>
      <c r="F470" s="224"/>
      <c r="G470" s="225"/>
      <c r="H470" s="226">
        <f ca="1">IF(AND(E470&gt;=2018,SUMIF('DADOS BASE'!$C$101:$D$104,D470,'DADOS BASE'!$H$101:$H$104)&gt;J470),
SUMIF('DADOS BASE'!$C$101:$D$104,D470,'DADOS BASE'!$H$101:$H$104),
J470)</f>
        <v>2744023.9412570288</v>
      </c>
      <c r="I470" s="225"/>
      <c r="J470" s="226">
        <f t="shared" si="315"/>
        <v>2744023.9412570288</v>
      </c>
      <c r="K470" s="226"/>
      <c r="L470" s="227">
        <v>2786.5575919992998</v>
      </c>
      <c r="M470" s="226">
        <f t="shared" si="316"/>
        <v>2.1739430936242193E-3</v>
      </c>
      <c r="N470" s="226">
        <f>L470*'DADOS BASE'!$I$29</f>
        <v>2744023.9412570288</v>
      </c>
      <c r="O470" s="228"/>
      <c r="P470" s="227">
        <v>0</v>
      </c>
      <c r="Q470" s="226">
        <f>P470*'DADOS BASE'!$I$33</f>
        <v>0</v>
      </c>
      <c r="R470" s="226"/>
      <c r="S470" s="227">
        <v>0</v>
      </c>
      <c r="T470" s="226">
        <f>S470*'DADOS BASE'!$I$37</f>
        <v>0</v>
      </c>
      <c r="U470" s="226"/>
      <c r="V470" s="226">
        <f t="shared" si="317"/>
        <v>0</v>
      </c>
      <c r="W470" s="228"/>
      <c r="X470" s="226"/>
      <c r="Y470" s="226"/>
      <c r="Z470" s="224"/>
      <c r="AA470" s="226"/>
      <c r="AB470" s="226"/>
      <c r="AC470" s="226"/>
      <c r="AD470" s="226"/>
      <c r="AE470" s="227">
        <v>1204</v>
      </c>
      <c r="AF470" s="227">
        <v>941.93958592759998</v>
      </c>
      <c r="AG470" s="226" t="s">
        <v>155</v>
      </c>
      <c r="AH470" s="229">
        <v>0.63100000000000001</v>
      </c>
      <c r="AI470" s="225">
        <f t="shared" si="318"/>
        <v>594.3638787203156</v>
      </c>
      <c r="AJ470" s="226">
        <f t="shared" si="319"/>
        <v>-0.12318090717983601</v>
      </c>
      <c r="AK470" s="226"/>
      <c r="AL470" s="226">
        <f t="shared" si="320"/>
        <v>201.80907305042135</v>
      </c>
      <c r="AM470" s="228">
        <f t="shared" si="321"/>
        <v>190091.95470554667</v>
      </c>
      <c r="AN470" s="226"/>
      <c r="AO470" s="227">
        <v>2.1275555555555998</v>
      </c>
      <c r="AP470" s="225"/>
      <c r="AQ470" s="226">
        <f t="shared" si="322"/>
        <v>2004.0287990380066</v>
      </c>
      <c r="AR470" s="226">
        <f t="shared" si="323"/>
        <v>2.1322658831735694E-3</v>
      </c>
      <c r="AS470" s="228">
        <f>AR470*'DADOS BASE'!W$38</f>
        <v>639625.96297438932</v>
      </c>
      <c r="AT470" s="225"/>
      <c r="AU470" s="227">
        <v>0</v>
      </c>
      <c r="AV470" s="227">
        <v>0</v>
      </c>
      <c r="AW470" s="226">
        <f t="shared" si="324"/>
        <v>0</v>
      </c>
      <c r="AX470" s="226">
        <f>IF($AW$11&gt;0,(AW470/$AW$11)*'DADOS BASE'!W$40,0)</f>
        <v>0</v>
      </c>
      <c r="AY470" s="226">
        <f t="shared" si="325"/>
        <v>0</v>
      </c>
      <c r="AZ470" s="226">
        <f t="shared" si="326"/>
        <v>0</v>
      </c>
      <c r="BA470" s="226">
        <f>AZ470*'DADOS BASE'!W$41</f>
        <v>0</v>
      </c>
      <c r="BB470" s="225"/>
      <c r="BC470" s="227">
        <v>32</v>
      </c>
      <c r="BD470" s="226">
        <f>IF($BC$11&gt;0,(BC470/$BC$11)*'DADOS BASE'!W$39,0)</f>
        <v>172902.52840044763</v>
      </c>
      <c r="BE470" s="187"/>
    </row>
    <row r="471" spans="2:57" x14ac:dyDescent="0.3">
      <c r="B471" s="184" t="s">
        <v>558</v>
      </c>
      <c r="C471" s="184" t="s">
        <v>579</v>
      </c>
      <c r="D471" s="184" t="s">
        <v>94</v>
      </c>
      <c r="E471" s="184">
        <v>2013</v>
      </c>
      <c r="F471" s="185"/>
      <c r="H471" s="186">
        <f ca="1">IF(AND(E471&gt;=2018,SUMIF('DADOS BASE'!$C$101:$D$104,D471,'DADOS BASE'!$H$101:$H$104)&gt;J471),
SUMIF('DADOS BASE'!$C$101:$D$104,D471,'DADOS BASE'!$H$101:$H$104),
J471)</f>
        <v>1373248.5923750333</v>
      </c>
      <c r="J471" s="186">
        <f t="shared" si="315"/>
        <v>1373248.5923750333</v>
      </c>
      <c r="K471" s="186"/>
      <c r="L471" s="188">
        <v>1363.5143699623</v>
      </c>
      <c r="M471" s="186">
        <f t="shared" si="316"/>
        <v>1.063750721014226E-3</v>
      </c>
      <c r="N471" s="186">
        <f>L471*'DADOS BASE'!$I$29</f>
        <v>1342701.8648985042</v>
      </c>
      <c r="O471" s="187"/>
      <c r="P471" s="188">
        <v>0</v>
      </c>
      <c r="Q471" s="186">
        <f>P471*'DADOS BASE'!$I$33</f>
        <v>0</v>
      </c>
      <c r="R471" s="186"/>
      <c r="S471" s="188">
        <v>38.775269997034997</v>
      </c>
      <c r="T471" s="186">
        <f>S471*'DADOS BASE'!$I$37</f>
        <v>30546.727476529006</v>
      </c>
      <c r="U471" s="186"/>
      <c r="V471" s="186">
        <f t="shared" si="317"/>
        <v>30546.727476529006</v>
      </c>
      <c r="W471" s="187"/>
      <c r="X471" s="186"/>
      <c r="Y471" s="186"/>
      <c r="Z471" s="185"/>
      <c r="AA471" s="186"/>
      <c r="AB471" s="186"/>
      <c r="AC471" s="186"/>
      <c r="AD471" s="186"/>
      <c r="AE471" s="188">
        <v>935</v>
      </c>
      <c r="AF471" s="188">
        <v>621.69633150641005</v>
      </c>
      <c r="AG471" s="186" t="s">
        <v>155</v>
      </c>
      <c r="AH471" s="189">
        <v>0.64700000000000002</v>
      </c>
      <c r="AI471" s="183">
        <f t="shared" si="318"/>
        <v>402.23752648464733</v>
      </c>
      <c r="AJ471" s="186">
        <f t="shared" si="319"/>
        <v>-0.10160020217055919</v>
      </c>
      <c r="AK471" s="186"/>
      <c r="AL471" s="186">
        <f t="shared" si="320"/>
        <v>197.93153022018214</v>
      </c>
      <c r="AM471" s="187">
        <f t="shared" si="321"/>
        <v>123053.30622733738</v>
      </c>
      <c r="AN471" s="186"/>
      <c r="AO471" s="188">
        <v>2.3030303030303001</v>
      </c>
      <c r="AQ471" s="186">
        <f t="shared" si="322"/>
        <v>1431.7854907420335</v>
      </c>
      <c r="AR471" s="186">
        <f t="shared" si="323"/>
        <v>1.5234049308062191E-3</v>
      </c>
      <c r="AS471" s="187">
        <f>AR471*'DADOS BASE'!W$38</f>
        <v>456983.04022788821</v>
      </c>
      <c r="AU471" s="188">
        <v>38.775269997034997</v>
      </c>
      <c r="AV471" s="188">
        <v>75</v>
      </c>
      <c r="AW471" s="186">
        <f t="shared" si="324"/>
        <v>9.6938174992587491</v>
      </c>
      <c r="AX471" s="186">
        <f>IF($AW$11&gt;0,(AW471/$AW$11)*'DADOS BASE'!W$40,0)</f>
        <v>1741.7499810937691</v>
      </c>
      <c r="AY471" s="186">
        <f t="shared" si="325"/>
        <v>22.325155452838302</v>
      </c>
      <c r="AZ471" s="186">
        <f t="shared" si="326"/>
        <v>1.1676126732741777E-3</v>
      </c>
      <c r="BA471" s="186">
        <f>AZ471*'DADOS BASE'!W$41</f>
        <v>8626.1516901840387</v>
      </c>
      <c r="BC471" s="188">
        <v>0</v>
      </c>
      <c r="BD471" s="186">
        <f>IF($BC$11&gt;0,(BC471/$BC$11)*'DADOS BASE'!W$39,0)</f>
        <v>0</v>
      </c>
      <c r="BE471" s="187"/>
    </row>
    <row r="472" spans="2:57" x14ac:dyDescent="0.3">
      <c r="F472" s="185"/>
      <c r="H472" s="186"/>
      <c r="J472" s="186"/>
      <c r="K472" s="186"/>
      <c r="L472" s="186"/>
      <c r="M472" s="186"/>
      <c r="N472" s="186"/>
      <c r="O472" s="187"/>
      <c r="P472" s="186"/>
      <c r="Q472" s="186"/>
      <c r="R472" s="186"/>
      <c r="S472" s="186"/>
      <c r="T472" s="186"/>
      <c r="U472" s="186"/>
      <c r="V472" s="186"/>
      <c r="W472" s="187"/>
      <c r="X472" s="186"/>
      <c r="Y472" s="186"/>
      <c r="Z472" s="185"/>
      <c r="AA472" s="186"/>
      <c r="AB472" s="186"/>
      <c r="AC472" s="186"/>
      <c r="AD472" s="186"/>
      <c r="AE472" s="186"/>
      <c r="AF472" s="186"/>
      <c r="AG472" s="186"/>
      <c r="AH472" s="185"/>
      <c r="AJ472" s="186"/>
      <c r="AK472" s="186"/>
      <c r="AL472" s="186"/>
      <c r="AM472" s="187"/>
      <c r="AN472" s="186"/>
      <c r="AO472" s="186"/>
      <c r="AQ472" s="186"/>
      <c r="AR472" s="186"/>
      <c r="AS472" s="187"/>
      <c r="AU472" s="186"/>
      <c r="AV472" s="186"/>
      <c r="AW472" s="186"/>
      <c r="AX472" s="186"/>
      <c r="AY472" s="186"/>
      <c r="AZ472" s="186"/>
      <c r="BA472" s="186"/>
      <c r="BC472" s="186"/>
      <c r="BD472" s="186"/>
      <c r="BE472" s="187"/>
    </row>
    <row r="473" spans="2:57" x14ac:dyDescent="0.3">
      <c r="B473" s="209" t="s">
        <v>580</v>
      </c>
      <c r="C473" s="209" t="s">
        <v>581</v>
      </c>
      <c r="D473" s="211" t="s">
        <v>154</v>
      </c>
      <c r="E473" s="211"/>
      <c r="F473" s="210"/>
      <c r="G473" s="211"/>
      <c r="H473" s="212">
        <f ca="1">SUM(H474:H500)</f>
        <v>36351495.493669592</v>
      </c>
      <c r="I473" s="211"/>
      <c r="J473" s="212">
        <f>SUM(J474:J500)</f>
        <v>35667363.552296512</v>
      </c>
      <c r="K473" s="212"/>
      <c r="L473" s="212">
        <f>SUM(L474:L500)</f>
        <v>34980.615558228506</v>
      </c>
      <c r="M473" s="212">
        <f>SUM(M474:M500)</f>
        <v>2.7290255124055546E-2</v>
      </c>
      <c r="N473" s="212">
        <f>SUM(N474:N500)</f>
        <v>34446676.016058184</v>
      </c>
      <c r="O473" s="214"/>
      <c r="P473" s="212">
        <f>SUM(P474:P500)</f>
        <v>0</v>
      </c>
      <c r="Q473" s="212">
        <f>SUM(Q474:Q500)</f>
        <v>0</v>
      </c>
      <c r="R473" s="212"/>
      <c r="S473" s="212">
        <f>SUM(S474:S500)</f>
        <v>1549.5109528844048</v>
      </c>
      <c r="T473" s="212">
        <f>SUM(T474:T500)</f>
        <v>1220687.5362383306</v>
      </c>
      <c r="U473" s="212"/>
      <c r="V473" s="212">
        <f>SUM(V474:V500)</f>
        <v>1220687.5362383306</v>
      </c>
      <c r="W473" s="214"/>
      <c r="X473" s="212">
        <f>SUMIF(INDICADORES!$D$13:$D$53,C473,INDICADORES!$L$13:$L$53)</f>
        <v>2.7482938135795883E-2</v>
      </c>
      <c r="Y473" s="212">
        <f>X473*'DADOS BASE'!$I$79</f>
        <v>1141179.9911756958</v>
      </c>
      <c r="Z473" s="210">
        <f>SUMIF(INDICADORES!$D$13:$D$53,C473,INDICADORES!$R$13:$R$53)</f>
        <v>2.3095879420024064E-2</v>
      </c>
      <c r="AA473" s="212">
        <f>Z473*'DADOS BASE'!$I$84</f>
        <v>959015.2021777177</v>
      </c>
      <c r="AB473" s="212">
        <f>SUMIF(INDICADORES!$D$13:$D$53,C473,INDICADORES!$Z$13:$Z$53)</f>
        <v>3.2927454407803133E-2</v>
      </c>
      <c r="AC473" s="212">
        <f>AB473*'DADOS BASE'!$I$89</f>
        <v>2734507.6385113895</v>
      </c>
      <c r="AD473" s="212"/>
      <c r="AE473" s="212">
        <f>SUM(AE474:AE500)</f>
        <v>22951</v>
      </c>
      <c r="AF473" s="212">
        <f>SUM(AF474:AF500)</f>
        <v>16370.956622789383</v>
      </c>
      <c r="AG473" s="212" t="s">
        <v>155</v>
      </c>
      <c r="AH473" s="210"/>
      <c r="AI473" s="211"/>
      <c r="AJ473" s="212"/>
      <c r="AK473" s="212"/>
      <c r="AL473" s="212"/>
      <c r="AM473" s="214">
        <f>SUM(AM474:AM500)</f>
        <v>2870273.0674214461</v>
      </c>
      <c r="AN473" s="212"/>
      <c r="AO473" s="212"/>
      <c r="AP473" s="211"/>
      <c r="AQ473" s="212">
        <f>SUM(AQ474:AQ500)</f>
        <v>28152.534830025965</v>
      </c>
      <c r="AR473" s="212"/>
      <c r="AS473" s="214">
        <f>SUM(AS474:AS500)</f>
        <v>8985445.82266948</v>
      </c>
      <c r="AT473" s="211"/>
      <c r="AU473" s="212">
        <f t="shared" ref="AU473:BA473" si="327">SUM(AU474:AU500)</f>
        <v>1035.3837112571803</v>
      </c>
      <c r="AV473" s="212">
        <f t="shared" si="327"/>
        <v>1360</v>
      </c>
      <c r="AW473" s="212">
        <f t="shared" si="327"/>
        <v>258.84592781429507</v>
      </c>
      <c r="AX473" s="212">
        <f t="shared" si="327"/>
        <v>46508.497804009814</v>
      </c>
      <c r="AY473" s="212">
        <f t="shared" si="327"/>
        <v>460.10800268443654</v>
      </c>
      <c r="AZ473" s="212">
        <f t="shared" si="327"/>
        <v>2.4063793694252513E-2</v>
      </c>
      <c r="BA473" s="212">
        <f t="shared" si="327"/>
        <v>177779.78896531989</v>
      </c>
      <c r="BB473" s="211"/>
      <c r="BC473" s="212">
        <f>SUM(BC474:BC500)</f>
        <v>0</v>
      </c>
      <c r="BD473" s="212">
        <f>SUM(BD474:BD500)</f>
        <v>0</v>
      </c>
      <c r="BE473" s="187"/>
    </row>
    <row r="474" spans="2:57" x14ac:dyDescent="0.3">
      <c r="B474" s="216" t="s">
        <v>580</v>
      </c>
      <c r="C474" s="218" t="s">
        <v>156</v>
      </c>
      <c r="D474" s="218" t="s">
        <v>157</v>
      </c>
      <c r="E474" s="218"/>
      <c r="F474" s="217"/>
      <c r="G474" s="218"/>
      <c r="H474" s="219"/>
      <c r="I474" s="218"/>
      <c r="J474" s="219"/>
      <c r="K474" s="219"/>
      <c r="L474" s="219">
        <v>0</v>
      </c>
      <c r="M474" s="219">
        <v>0</v>
      </c>
      <c r="N474" s="219">
        <v>0</v>
      </c>
      <c r="O474" s="221"/>
      <c r="P474" s="219"/>
      <c r="Q474" s="219"/>
      <c r="R474" s="219"/>
      <c r="S474" s="219"/>
      <c r="T474" s="219"/>
      <c r="U474" s="219"/>
      <c r="V474" s="219"/>
      <c r="W474" s="221"/>
      <c r="X474" s="219"/>
      <c r="Y474" s="219"/>
      <c r="Z474" s="217"/>
      <c r="AA474" s="219"/>
      <c r="AB474" s="219"/>
      <c r="AC474" s="219"/>
      <c r="AD474" s="219"/>
      <c r="AE474" s="219"/>
      <c r="AF474" s="219"/>
      <c r="AG474" s="219" t="s">
        <v>155</v>
      </c>
      <c r="AH474" s="217"/>
      <c r="AI474" s="218"/>
      <c r="AJ474" s="219"/>
      <c r="AK474" s="219"/>
      <c r="AL474" s="219"/>
      <c r="AM474" s="221"/>
      <c r="AN474" s="219"/>
      <c r="AO474" s="219"/>
      <c r="AP474" s="218"/>
      <c r="AQ474" s="219"/>
      <c r="AR474" s="219"/>
      <c r="AS474" s="221"/>
      <c r="AT474" s="218"/>
      <c r="AU474" s="219"/>
      <c r="AV474" s="219"/>
      <c r="AW474" s="219"/>
      <c r="AX474" s="219"/>
      <c r="AY474" s="219"/>
      <c r="AZ474" s="219"/>
      <c r="BA474" s="219"/>
      <c r="BB474" s="218"/>
      <c r="BC474" s="219"/>
      <c r="BD474" s="219"/>
      <c r="BE474" s="187"/>
    </row>
    <row r="475" spans="2:57" x14ac:dyDescent="0.3">
      <c r="B475" s="184" t="s">
        <v>580</v>
      </c>
      <c r="C475" s="184" t="s">
        <v>582</v>
      </c>
      <c r="D475" s="184" t="s">
        <v>94</v>
      </c>
      <c r="E475" s="184">
        <v>2013</v>
      </c>
      <c r="F475" s="185"/>
      <c r="H475" s="186">
        <f ca="1">IF(AND(E475&gt;=2018,SUMIF('DADOS BASE'!$C$101:$D$104,D475,'DADOS BASE'!$H$101:$H$104)&gt;J475),
SUMIF('DADOS BASE'!$C$101:$D$104,D475,'DADOS BASE'!$H$101:$H$104),
J475)</f>
        <v>1796223.1182154203</v>
      </c>
      <c r="J475" s="186">
        <f t="shared" ref="J475:J500" si="328">N475+Q475+T475</f>
        <v>1796223.1182154203</v>
      </c>
      <c r="K475" s="186"/>
      <c r="L475" s="188">
        <v>1824.0654142015001</v>
      </c>
      <c r="M475" s="186">
        <f t="shared" ref="M475:M500" si="329">L475/$L$11</f>
        <v>1.4230513020464959E-3</v>
      </c>
      <c r="N475" s="186">
        <f>L475*'DADOS BASE'!$I$29</f>
        <v>1796223.1182154203</v>
      </c>
      <c r="O475" s="187"/>
      <c r="P475" s="188">
        <v>0</v>
      </c>
      <c r="Q475" s="186">
        <f>P475*'DADOS BASE'!$I$33</f>
        <v>0</v>
      </c>
      <c r="R475" s="186"/>
      <c r="S475" s="188">
        <v>0</v>
      </c>
      <c r="T475" s="186">
        <f>S475*'DADOS BASE'!$I$37</f>
        <v>0</v>
      </c>
      <c r="U475" s="186"/>
      <c r="V475" s="186">
        <f t="shared" ref="V475:V500" si="330">T475+Q475</f>
        <v>0</v>
      </c>
      <c r="W475" s="187"/>
      <c r="X475" s="186"/>
      <c r="Y475" s="186"/>
      <c r="Z475" s="185"/>
      <c r="AA475" s="186"/>
      <c r="AB475" s="186"/>
      <c r="AC475" s="186"/>
      <c r="AD475" s="186"/>
      <c r="AE475" s="188">
        <v>1055</v>
      </c>
      <c r="AF475" s="188">
        <v>776.43907940783004</v>
      </c>
      <c r="AG475" s="186" t="s">
        <v>155</v>
      </c>
      <c r="AH475" s="189">
        <v>0.72899999999999998</v>
      </c>
      <c r="AI475" s="183">
        <f t="shared" ref="AI475:AI500" si="331">AF475*AH475</f>
        <v>566.02408888830803</v>
      </c>
      <c r="AJ475" s="186">
        <f t="shared" ref="AJ475:AJ500" si="332">(AH475-$AI$12)*$AJ$12</f>
        <v>9.0009110019843679E-3</v>
      </c>
      <c r="AK475" s="186"/>
      <c r="AL475" s="186">
        <f t="shared" ref="AL475:AL500" si="333">$AL$11-(AJ475*$AL$11)</f>
        <v>178.05912321520626</v>
      </c>
      <c r="AM475" s="187">
        <f t="shared" ref="AM475:AM500" si="334">AF475*AL475</f>
        <v>138252.06170938013</v>
      </c>
      <c r="AN475" s="186"/>
      <c r="AO475" s="188">
        <v>1.8503030303029999</v>
      </c>
      <c r="AQ475" s="186">
        <f t="shared" ref="AQ475:AQ500" si="335">AF475*AO475</f>
        <v>1436.6475814739795</v>
      </c>
      <c r="AR475" s="186">
        <f t="shared" ref="AR475:AR500" si="336">AQ475/$AQ$11</f>
        <v>1.5285781449803863E-3</v>
      </c>
      <c r="AS475" s="187">
        <f>AR475*'DADOS BASE'!W$38</f>
        <v>458534.87394803361</v>
      </c>
      <c r="AU475" s="188">
        <v>0</v>
      </c>
      <c r="AV475" s="188">
        <v>0</v>
      </c>
      <c r="AW475" s="186">
        <f t="shared" ref="AW475:AW500" si="337">AU475/4</f>
        <v>0</v>
      </c>
      <c r="AX475" s="186">
        <f>IF($AW$11&gt;0,(AW475/$AW$11)*'DADOS BASE'!W$40,0)</f>
        <v>0</v>
      </c>
      <c r="AY475" s="186">
        <f t="shared" ref="AY475:AY500" si="338">AO475*AW475</f>
        <v>0</v>
      </c>
      <c r="AZ475" s="186">
        <f t="shared" ref="AZ475:AZ500" si="339">IF($AY$11&gt;0,AY475/$AY$11,0)</f>
        <v>0</v>
      </c>
      <c r="BA475" s="186">
        <f>AZ475*'DADOS BASE'!W$41</f>
        <v>0</v>
      </c>
      <c r="BC475" s="188">
        <v>0</v>
      </c>
      <c r="BD475" s="186">
        <f>IF($BC$11&gt;0,(BC475/$BC$11)*'DADOS BASE'!W$39,0)</f>
        <v>0</v>
      </c>
      <c r="BE475" s="187"/>
    </row>
    <row r="476" spans="2:57" x14ac:dyDescent="0.3">
      <c r="B476" s="223" t="s">
        <v>580</v>
      </c>
      <c r="C476" s="223" t="s">
        <v>583</v>
      </c>
      <c r="D476" s="223" t="s">
        <v>98</v>
      </c>
      <c r="E476" s="223">
        <v>2018</v>
      </c>
      <c r="F476" s="224"/>
      <c r="G476" s="225"/>
      <c r="H476" s="226">
        <f ca="1">IF(AND(E476&gt;=2018,SUMIF('DADOS BASE'!$C$101:$D$104,D476,'DADOS BASE'!$H$101:$H$104)&gt;J476),
SUMIF('DADOS BASE'!$C$101:$D$104,D476,'DADOS BASE'!$H$101:$H$104),
J476)</f>
        <v>700000</v>
      </c>
      <c r="I476" s="225"/>
      <c r="J476" s="226">
        <f t="shared" si="328"/>
        <v>15868.058626920314</v>
      </c>
      <c r="K476" s="226"/>
      <c r="L476" s="227">
        <v>16.114020935574999</v>
      </c>
      <c r="M476" s="226">
        <f t="shared" si="329"/>
        <v>1.2571412349053705E-5</v>
      </c>
      <c r="N476" s="226">
        <f>L476*'DADOS BASE'!$I$29</f>
        <v>15868.058626920314</v>
      </c>
      <c r="O476" s="228"/>
      <c r="P476" s="227">
        <v>0</v>
      </c>
      <c r="Q476" s="226">
        <f>P476*'DADOS BASE'!$I$33</f>
        <v>0</v>
      </c>
      <c r="R476" s="226"/>
      <c r="S476" s="227">
        <v>0</v>
      </c>
      <c r="T476" s="226">
        <f>S476*'DADOS BASE'!$I$37</f>
        <v>0</v>
      </c>
      <c r="U476" s="226"/>
      <c r="V476" s="226">
        <f t="shared" si="330"/>
        <v>0</v>
      </c>
      <c r="W476" s="228"/>
      <c r="X476" s="226"/>
      <c r="Y476" s="226"/>
      <c r="Z476" s="224"/>
      <c r="AA476" s="226"/>
      <c r="AB476" s="226"/>
      <c r="AC476" s="226"/>
      <c r="AD476" s="226"/>
      <c r="AE476" s="227">
        <v>150</v>
      </c>
      <c r="AF476" s="227">
        <v>16.114020935574999</v>
      </c>
      <c r="AG476" s="226" t="s">
        <v>155</v>
      </c>
      <c r="AH476" s="229">
        <v>0.748</v>
      </c>
      <c r="AI476" s="225">
        <f t="shared" si="331"/>
        <v>12.053287659810099</v>
      </c>
      <c r="AJ476" s="226">
        <f t="shared" si="332"/>
        <v>3.4627998200500595E-2</v>
      </c>
      <c r="AK476" s="226"/>
      <c r="AL476" s="226">
        <f t="shared" si="333"/>
        <v>173.45454110429719</v>
      </c>
      <c r="AM476" s="228">
        <f t="shared" si="334"/>
        <v>2795.0501067251989</v>
      </c>
      <c r="AN476" s="226"/>
      <c r="AO476" s="227">
        <v>1</v>
      </c>
      <c r="AP476" s="225"/>
      <c r="AQ476" s="226">
        <f t="shared" si="335"/>
        <v>16.114020935574999</v>
      </c>
      <c r="AR476" s="226">
        <f t="shared" si="336"/>
        <v>1.7145151356190459E-5</v>
      </c>
      <c r="AS476" s="228">
        <f>AR476*'DADOS BASE'!W$38</f>
        <v>5143.1127952124589</v>
      </c>
      <c r="AT476" s="225"/>
      <c r="AU476" s="227">
        <v>0</v>
      </c>
      <c r="AV476" s="227">
        <v>0</v>
      </c>
      <c r="AW476" s="226">
        <f t="shared" si="337"/>
        <v>0</v>
      </c>
      <c r="AX476" s="226">
        <f>IF($AW$11&gt;0,(AW476/$AW$11)*'DADOS BASE'!W$40,0)</f>
        <v>0</v>
      </c>
      <c r="AY476" s="226">
        <f t="shared" si="338"/>
        <v>0</v>
      </c>
      <c r="AZ476" s="226">
        <f t="shared" si="339"/>
        <v>0</v>
      </c>
      <c r="BA476" s="226">
        <f>AZ476*'DADOS BASE'!W$41</f>
        <v>0</v>
      </c>
      <c r="BB476" s="225"/>
      <c r="BC476" s="227">
        <v>0</v>
      </c>
      <c r="BD476" s="226">
        <f>IF($BC$11&gt;0,(BC476/$BC$11)*'DADOS BASE'!W$39,0)</f>
        <v>0</v>
      </c>
      <c r="BE476" s="187"/>
    </row>
    <row r="477" spans="2:57" x14ac:dyDescent="0.3">
      <c r="B477" s="184" t="s">
        <v>580</v>
      </c>
      <c r="C477" s="184" t="s">
        <v>584</v>
      </c>
      <c r="D477" s="184" t="s">
        <v>98</v>
      </c>
      <c r="E477" s="184">
        <v>2015</v>
      </c>
      <c r="F477" s="185"/>
      <c r="H477" s="186">
        <f ca="1">IF(AND(E477&gt;=2018,SUMIF('DADOS BASE'!$C$101:$D$104,D477,'DADOS BASE'!$H$101:$H$104)&gt;J477),
SUMIF('DADOS BASE'!$C$101:$D$104,D477,'DADOS BASE'!$H$101:$H$104),
J477)</f>
        <v>177690.04068086119</v>
      </c>
      <c r="J477" s="186">
        <f t="shared" si="328"/>
        <v>177690.04068086119</v>
      </c>
      <c r="K477" s="186"/>
      <c r="L477" s="188">
        <v>180.44431917569</v>
      </c>
      <c r="M477" s="186">
        <f t="shared" si="329"/>
        <v>1.4077429534634724E-4</v>
      </c>
      <c r="N477" s="186">
        <f>L477*'DADOS BASE'!$I$29</f>
        <v>177690.04068086119</v>
      </c>
      <c r="O477" s="187"/>
      <c r="P477" s="188">
        <v>0</v>
      </c>
      <c r="Q477" s="186">
        <f>P477*'DADOS BASE'!$I$33</f>
        <v>0</v>
      </c>
      <c r="R477" s="186"/>
      <c r="S477" s="188">
        <v>0</v>
      </c>
      <c r="T477" s="186">
        <f>S477*'DADOS BASE'!$I$37</f>
        <v>0</v>
      </c>
      <c r="U477" s="186"/>
      <c r="V477" s="186">
        <f t="shared" si="330"/>
        <v>0</v>
      </c>
      <c r="W477" s="187"/>
      <c r="X477" s="186"/>
      <c r="Y477" s="186"/>
      <c r="Z477" s="185"/>
      <c r="AA477" s="186"/>
      <c r="AB477" s="186"/>
      <c r="AC477" s="186"/>
      <c r="AD477" s="186"/>
      <c r="AE477" s="188">
        <v>306</v>
      </c>
      <c r="AF477" s="188">
        <v>130.18716178317001</v>
      </c>
      <c r="AG477" s="186" t="s">
        <v>155</v>
      </c>
      <c r="AH477" s="189">
        <v>0.747</v>
      </c>
      <c r="AI477" s="183">
        <f t="shared" si="331"/>
        <v>97.249809852027994</v>
      </c>
      <c r="AJ477" s="186">
        <f t="shared" si="332"/>
        <v>3.327920413742079E-2</v>
      </c>
      <c r="AK477" s="186"/>
      <c r="AL477" s="186">
        <f t="shared" si="333"/>
        <v>173.69688753118714</v>
      </c>
      <c r="AM477" s="187">
        <f t="shared" si="334"/>
        <v>22613.104798255747</v>
      </c>
      <c r="AN477" s="186"/>
      <c r="AO477" s="188">
        <v>1.8544303797468</v>
      </c>
      <c r="AQ477" s="186">
        <f t="shared" si="335"/>
        <v>241.42302786372207</v>
      </c>
      <c r="AR477" s="186">
        <f t="shared" si="336"/>
        <v>2.5687160083397273E-4</v>
      </c>
      <c r="AS477" s="187">
        <f>AR477*'DADOS BASE'!W$38</f>
        <v>77054.998788267141</v>
      </c>
      <c r="AU477" s="188">
        <v>0</v>
      </c>
      <c r="AV477" s="188">
        <v>0</v>
      </c>
      <c r="AW477" s="186">
        <f t="shared" si="337"/>
        <v>0</v>
      </c>
      <c r="AX477" s="186">
        <f>IF($AW$11&gt;0,(AW477/$AW$11)*'DADOS BASE'!W$40,0)</f>
        <v>0</v>
      </c>
      <c r="AY477" s="186">
        <f t="shared" si="338"/>
        <v>0</v>
      </c>
      <c r="AZ477" s="186">
        <f t="shared" si="339"/>
        <v>0</v>
      </c>
      <c r="BA477" s="186">
        <f>AZ477*'DADOS BASE'!W$41</f>
        <v>0</v>
      </c>
      <c r="BC477" s="188">
        <v>0</v>
      </c>
      <c r="BD477" s="186">
        <f>IF($BC$11&gt;0,(BC477/$BC$11)*'DADOS BASE'!W$39,0)</f>
        <v>0</v>
      </c>
      <c r="BE477" s="187"/>
    </row>
    <row r="478" spans="2:57" x14ac:dyDescent="0.3">
      <c r="B478" s="223" t="s">
        <v>580</v>
      </c>
      <c r="C478" s="223" t="s">
        <v>585</v>
      </c>
      <c r="D478" s="223" t="s">
        <v>98</v>
      </c>
      <c r="E478" s="223">
        <v>2014</v>
      </c>
      <c r="F478" s="224"/>
      <c r="G478" s="225"/>
      <c r="H478" s="226">
        <f ca="1">IF(AND(E478&gt;=2018,SUMIF('DADOS BASE'!$C$101:$D$104,D478,'DADOS BASE'!$H$101:$H$104)&gt;J478),
SUMIF('DADOS BASE'!$C$101:$D$104,D478,'DADOS BASE'!$H$101:$H$104),
J478)</f>
        <v>440595.7057525455</v>
      </c>
      <c r="I478" s="225"/>
      <c r="J478" s="226">
        <f t="shared" si="328"/>
        <v>440595.7057525455</v>
      </c>
      <c r="K478" s="226"/>
      <c r="L478" s="227">
        <v>447.42514465986</v>
      </c>
      <c r="M478" s="226">
        <f t="shared" si="329"/>
        <v>3.490603624844673E-4</v>
      </c>
      <c r="N478" s="226">
        <f>L478*'DADOS BASE'!$I$29</f>
        <v>440595.7057525455</v>
      </c>
      <c r="O478" s="228"/>
      <c r="P478" s="227">
        <v>0</v>
      </c>
      <c r="Q478" s="226">
        <f>P478*'DADOS BASE'!$I$33</f>
        <v>0</v>
      </c>
      <c r="R478" s="226"/>
      <c r="S478" s="227">
        <v>0</v>
      </c>
      <c r="T478" s="226">
        <f>S478*'DADOS BASE'!$I$37</f>
        <v>0</v>
      </c>
      <c r="U478" s="226"/>
      <c r="V478" s="226">
        <f t="shared" si="330"/>
        <v>0</v>
      </c>
      <c r="W478" s="228"/>
      <c r="X478" s="226"/>
      <c r="Y478" s="226"/>
      <c r="Z478" s="224"/>
      <c r="AA478" s="226"/>
      <c r="AB478" s="226"/>
      <c r="AC478" s="226"/>
      <c r="AD478" s="226"/>
      <c r="AE478" s="227">
        <v>323</v>
      </c>
      <c r="AF478" s="227">
        <v>298.28342977324002</v>
      </c>
      <c r="AG478" s="226" t="s">
        <v>155</v>
      </c>
      <c r="AH478" s="229">
        <v>0.70599999999999996</v>
      </c>
      <c r="AI478" s="225">
        <f t="shared" si="331"/>
        <v>210.58810141990745</v>
      </c>
      <c r="AJ478" s="226">
        <f t="shared" si="332"/>
        <v>-2.2021352448851061E-2</v>
      </c>
      <c r="AK478" s="226"/>
      <c r="AL478" s="226">
        <f t="shared" si="333"/>
        <v>183.6330910336751</v>
      </c>
      <c r="AM478" s="228">
        <f t="shared" si="334"/>
        <v>54774.70821338622</v>
      </c>
      <c r="AN478" s="226"/>
      <c r="AO478" s="227">
        <v>1.7484375000000001</v>
      </c>
      <c r="AP478" s="225"/>
      <c r="AQ478" s="226">
        <f t="shared" si="335"/>
        <v>521.52993424414933</v>
      </c>
      <c r="AR478" s="226">
        <f t="shared" si="336"/>
        <v>5.5490244769754171E-4</v>
      </c>
      <c r="AS478" s="228">
        <f>AR478*'DADOS BASE'!W$38</f>
        <v>166456.73284286846</v>
      </c>
      <c r="AT478" s="225"/>
      <c r="AU478" s="227">
        <v>0</v>
      </c>
      <c r="AV478" s="227">
        <v>0</v>
      </c>
      <c r="AW478" s="226">
        <f t="shared" si="337"/>
        <v>0</v>
      </c>
      <c r="AX478" s="226">
        <f>IF($AW$11&gt;0,(AW478/$AW$11)*'DADOS BASE'!W$40,0)</f>
        <v>0</v>
      </c>
      <c r="AY478" s="226">
        <f t="shared" si="338"/>
        <v>0</v>
      </c>
      <c r="AZ478" s="226">
        <f t="shared" si="339"/>
        <v>0</v>
      </c>
      <c r="BA478" s="226">
        <f>AZ478*'DADOS BASE'!W$41</f>
        <v>0</v>
      </c>
      <c r="BB478" s="225"/>
      <c r="BC478" s="227">
        <v>0</v>
      </c>
      <c r="BD478" s="226">
        <f>IF($BC$11&gt;0,(BC478/$BC$11)*'DADOS BASE'!W$39,0)</f>
        <v>0</v>
      </c>
      <c r="BE478" s="187"/>
    </row>
    <row r="479" spans="2:57" x14ac:dyDescent="0.3">
      <c r="B479" s="184" t="s">
        <v>580</v>
      </c>
      <c r="C479" s="184" t="s">
        <v>586</v>
      </c>
      <c r="D479" s="184" t="s">
        <v>98</v>
      </c>
      <c r="E479" s="184">
        <v>2015</v>
      </c>
      <c r="F479" s="185"/>
      <c r="H479" s="186">
        <f ca="1">IF(AND(E479&gt;=2018,SUMIF('DADOS BASE'!$C$101:$D$104,D479,'DADOS BASE'!$H$101:$H$104)&gt;J479),
SUMIF('DADOS BASE'!$C$101:$D$104,D479,'DADOS BASE'!$H$101:$H$104),
J479)</f>
        <v>459899.85241869168</v>
      </c>
      <c r="J479" s="186">
        <f t="shared" si="328"/>
        <v>459899.85241869168</v>
      </c>
      <c r="K479" s="186"/>
      <c r="L479" s="188">
        <v>467.02851460165999</v>
      </c>
      <c r="M479" s="186">
        <f t="shared" si="329"/>
        <v>3.6435400321850294E-4</v>
      </c>
      <c r="N479" s="186">
        <f>L479*'DADOS BASE'!$I$29</f>
        <v>459899.85241869168</v>
      </c>
      <c r="O479" s="187"/>
      <c r="P479" s="188">
        <v>0</v>
      </c>
      <c r="Q479" s="186">
        <f>P479*'DADOS BASE'!$I$33</f>
        <v>0</v>
      </c>
      <c r="R479" s="186"/>
      <c r="S479" s="188">
        <v>0</v>
      </c>
      <c r="T479" s="186">
        <f>S479*'DADOS BASE'!$I$37</f>
        <v>0</v>
      </c>
      <c r="U479" s="186"/>
      <c r="V479" s="186">
        <f t="shared" si="330"/>
        <v>0</v>
      </c>
      <c r="W479" s="187"/>
      <c r="X479" s="186"/>
      <c r="Y479" s="186"/>
      <c r="Z479" s="185"/>
      <c r="AA479" s="186"/>
      <c r="AB479" s="186"/>
      <c r="AC479" s="186"/>
      <c r="AD479" s="186"/>
      <c r="AE479" s="188">
        <v>404</v>
      </c>
      <c r="AF479" s="188">
        <v>315.61534000966998</v>
      </c>
      <c r="AG479" s="186" t="s">
        <v>155</v>
      </c>
      <c r="AH479" s="189">
        <v>0.72299999999999998</v>
      </c>
      <c r="AI479" s="183">
        <f t="shared" si="331"/>
        <v>228.18989082699139</v>
      </c>
      <c r="AJ479" s="186">
        <f t="shared" si="332"/>
        <v>9.0814662350556042E-4</v>
      </c>
      <c r="AK479" s="186"/>
      <c r="AL479" s="186">
        <f t="shared" si="333"/>
        <v>179.51320177654594</v>
      </c>
      <c r="AM479" s="187">
        <f t="shared" si="334"/>
        <v>56657.12021492904</v>
      </c>
      <c r="AN479" s="186"/>
      <c r="AO479" s="188">
        <v>1.6954177897574001</v>
      </c>
      <c r="AQ479" s="186">
        <f t="shared" si="335"/>
        <v>535.09986217272501</v>
      </c>
      <c r="AR479" s="186">
        <f t="shared" si="336"/>
        <v>5.6934071044761577E-4</v>
      </c>
      <c r="AS479" s="187">
        <f>AR479*'DADOS BASE'!W$38</f>
        <v>170787.84735727802</v>
      </c>
      <c r="AU479" s="188">
        <v>0</v>
      </c>
      <c r="AV479" s="188">
        <v>0</v>
      </c>
      <c r="AW479" s="186">
        <f t="shared" si="337"/>
        <v>0</v>
      </c>
      <c r="AX479" s="186">
        <f>IF($AW$11&gt;0,(AW479/$AW$11)*'DADOS BASE'!W$40,0)</f>
        <v>0</v>
      </c>
      <c r="AY479" s="186">
        <f t="shared" si="338"/>
        <v>0</v>
      </c>
      <c r="AZ479" s="186">
        <f t="shared" si="339"/>
        <v>0</v>
      </c>
      <c r="BA479" s="186">
        <f>AZ479*'DADOS BASE'!W$41</f>
        <v>0</v>
      </c>
      <c r="BC479" s="188">
        <v>0</v>
      </c>
      <c r="BD479" s="186">
        <f>IF($BC$11&gt;0,(BC479/$BC$11)*'DADOS BASE'!W$39,0)</f>
        <v>0</v>
      </c>
      <c r="BE479" s="187"/>
    </row>
    <row r="480" spans="2:57" x14ac:dyDescent="0.3">
      <c r="B480" s="223" t="s">
        <v>580</v>
      </c>
      <c r="C480" s="223" t="s">
        <v>587</v>
      </c>
      <c r="D480" s="223" t="s">
        <v>98</v>
      </c>
      <c r="E480" s="223">
        <v>2015</v>
      </c>
      <c r="F480" s="224"/>
      <c r="G480" s="225"/>
      <c r="H480" s="226">
        <f ca="1">IF(AND(E480&gt;=2018,SUMIF('DADOS BASE'!$C$101:$D$104,D480,'DADOS BASE'!$H$101:$H$104)&gt;J480),
SUMIF('DADOS BASE'!$C$101:$D$104,D480,'DADOS BASE'!$H$101:$H$104),
J480)</f>
        <v>431266.10209522722</v>
      </c>
      <c r="I480" s="225"/>
      <c r="J480" s="226">
        <f t="shared" si="328"/>
        <v>431266.10209522722</v>
      </c>
      <c r="K480" s="226"/>
      <c r="L480" s="227">
        <v>437.95092779507002</v>
      </c>
      <c r="M480" s="226">
        <f t="shared" si="329"/>
        <v>3.4166901755772178E-4</v>
      </c>
      <c r="N480" s="226">
        <f>L480*'DADOS BASE'!$I$29</f>
        <v>431266.10209522722</v>
      </c>
      <c r="O480" s="228"/>
      <c r="P480" s="227">
        <v>0</v>
      </c>
      <c r="Q480" s="226">
        <f>P480*'DADOS BASE'!$I$33</f>
        <v>0</v>
      </c>
      <c r="R480" s="226"/>
      <c r="S480" s="227">
        <v>0</v>
      </c>
      <c r="T480" s="226">
        <f>S480*'DADOS BASE'!$I$37</f>
        <v>0</v>
      </c>
      <c r="U480" s="226"/>
      <c r="V480" s="226">
        <f t="shared" si="330"/>
        <v>0</v>
      </c>
      <c r="W480" s="228"/>
      <c r="X480" s="226"/>
      <c r="Y480" s="226"/>
      <c r="Z480" s="224"/>
      <c r="AA480" s="226"/>
      <c r="AB480" s="226"/>
      <c r="AC480" s="226"/>
      <c r="AD480" s="226"/>
      <c r="AE480" s="227">
        <v>276</v>
      </c>
      <c r="AF480" s="227">
        <v>225.88282667087</v>
      </c>
      <c r="AG480" s="226" t="s">
        <v>155</v>
      </c>
      <c r="AH480" s="229">
        <v>0.73099999999999998</v>
      </c>
      <c r="AI480" s="225">
        <f t="shared" si="331"/>
        <v>165.12034629640596</v>
      </c>
      <c r="AJ480" s="226">
        <f t="shared" si="332"/>
        <v>1.169849912814397E-2</v>
      </c>
      <c r="AK480" s="226"/>
      <c r="AL480" s="226">
        <f t="shared" si="333"/>
        <v>177.57443036142635</v>
      </c>
      <c r="AM480" s="228">
        <f t="shared" si="334"/>
        <v>40111.014274508547</v>
      </c>
      <c r="AN480" s="226"/>
      <c r="AO480" s="227">
        <v>1.8089887640449001</v>
      </c>
      <c r="AP480" s="225"/>
      <c r="AQ480" s="226">
        <f t="shared" si="335"/>
        <v>408.61949543830553</v>
      </c>
      <c r="AR480" s="226">
        <f t="shared" si="336"/>
        <v>4.3476691040614777E-4</v>
      </c>
      <c r="AS480" s="228">
        <f>AR480*'DADOS BASE'!W$38</f>
        <v>130419.10295166296</v>
      </c>
      <c r="AT480" s="225"/>
      <c r="AU480" s="227">
        <v>0</v>
      </c>
      <c r="AV480" s="227">
        <v>0</v>
      </c>
      <c r="AW480" s="226">
        <f t="shared" si="337"/>
        <v>0</v>
      </c>
      <c r="AX480" s="226">
        <f>IF($AW$11&gt;0,(AW480/$AW$11)*'DADOS BASE'!W$40,0)</f>
        <v>0</v>
      </c>
      <c r="AY480" s="226">
        <f t="shared" si="338"/>
        <v>0</v>
      </c>
      <c r="AZ480" s="226">
        <f t="shared" si="339"/>
        <v>0</v>
      </c>
      <c r="BA480" s="226">
        <f>AZ480*'DADOS BASE'!W$41</f>
        <v>0</v>
      </c>
      <c r="BB480" s="225"/>
      <c r="BC480" s="227">
        <v>0</v>
      </c>
      <c r="BD480" s="226">
        <f>IF($BC$11&gt;0,(BC480/$BC$11)*'DADOS BASE'!W$39,0)</f>
        <v>0</v>
      </c>
      <c r="BE480" s="187"/>
    </row>
    <row r="481" spans="2:57" x14ac:dyDescent="0.3">
      <c r="B481" s="184" t="s">
        <v>580</v>
      </c>
      <c r="C481" s="184" t="s">
        <v>588</v>
      </c>
      <c r="D481" s="184" t="s">
        <v>98</v>
      </c>
      <c r="E481" s="184">
        <v>2015</v>
      </c>
      <c r="F481" s="185"/>
      <c r="H481" s="186">
        <f ca="1">IF(AND(E481&gt;=2018,SUMIF('DADOS BASE'!$C$101:$D$104,D481,'DADOS BASE'!$H$101:$H$104)&gt;J481),
SUMIF('DADOS BASE'!$C$101:$D$104,D481,'DADOS BASE'!$H$101:$H$104),
J481)</f>
        <v>235240.13376152274</v>
      </c>
      <c r="J481" s="186">
        <f t="shared" si="328"/>
        <v>235240.13376152274</v>
      </c>
      <c r="K481" s="186"/>
      <c r="L481" s="188">
        <v>238.88646553711001</v>
      </c>
      <c r="M481" s="186">
        <f t="shared" si="329"/>
        <v>1.8636814950668024E-4</v>
      </c>
      <c r="N481" s="186">
        <f>L481*'DADOS BASE'!$I$29</f>
        <v>235240.13376152274</v>
      </c>
      <c r="O481" s="187"/>
      <c r="P481" s="188">
        <v>0</v>
      </c>
      <c r="Q481" s="186">
        <f>P481*'DADOS BASE'!$I$33</f>
        <v>0</v>
      </c>
      <c r="R481" s="186"/>
      <c r="S481" s="188">
        <v>0</v>
      </c>
      <c r="T481" s="186">
        <f>S481*'DADOS BASE'!$I$37</f>
        <v>0</v>
      </c>
      <c r="U481" s="186"/>
      <c r="V481" s="186">
        <f t="shared" si="330"/>
        <v>0</v>
      </c>
      <c r="W481" s="187"/>
      <c r="X481" s="186"/>
      <c r="Y481" s="186"/>
      <c r="Z481" s="185"/>
      <c r="AA481" s="186"/>
      <c r="AB481" s="186"/>
      <c r="AC481" s="186"/>
      <c r="AD481" s="186"/>
      <c r="AE481" s="188">
        <v>167</v>
      </c>
      <c r="AF481" s="188">
        <v>159.42414675889</v>
      </c>
      <c r="AG481" s="186" t="s">
        <v>155</v>
      </c>
      <c r="AH481" s="189">
        <v>0.68100000000000005</v>
      </c>
      <c r="AI481" s="183">
        <f t="shared" si="331"/>
        <v>108.5678439428041</v>
      </c>
      <c r="AJ481" s="186">
        <f t="shared" si="332"/>
        <v>-5.5741204025845946E-2</v>
      </c>
      <c r="AK481" s="186"/>
      <c r="AL481" s="186">
        <f t="shared" si="333"/>
        <v>189.69175170592385</v>
      </c>
      <c r="AM481" s="187">
        <f t="shared" si="334"/>
        <v>30241.445662916129</v>
      </c>
      <c r="AN481" s="186"/>
      <c r="AO481" s="188">
        <v>1.4904458598726</v>
      </c>
      <c r="AQ481" s="186">
        <f t="shared" si="335"/>
        <v>237.61305950050939</v>
      </c>
      <c r="AR481" s="186">
        <f t="shared" si="336"/>
        <v>2.5281783396158611E-4</v>
      </c>
      <c r="AS481" s="187">
        <f>AR481*'DADOS BASE'!W$38</f>
        <v>75838.97101242296</v>
      </c>
      <c r="AU481" s="188">
        <v>0</v>
      </c>
      <c r="AV481" s="188">
        <v>0</v>
      </c>
      <c r="AW481" s="186">
        <f t="shared" si="337"/>
        <v>0</v>
      </c>
      <c r="AX481" s="186">
        <f>IF($AW$11&gt;0,(AW481/$AW$11)*'DADOS BASE'!W$40,0)</f>
        <v>0</v>
      </c>
      <c r="AY481" s="186">
        <f t="shared" si="338"/>
        <v>0</v>
      </c>
      <c r="AZ481" s="186">
        <f t="shared" si="339"/>
        <v>0</v>
      </c>
      <c r="BA481" s="186">
        <f>AZ481*'DADOS BASE'!W$41</f>
        <v>0</v>
      </c>
      <c r="BC481" s="188">
        <v>0</v>
      </c>
      <c r="BD481" s="186">
        <f>IF($BC$11&gt;0,(BC481/$BC$11)*'DADOS BASE'!W$39,0)</f>
        <v>0</v>
      </c>
      <c r="BE481" s="187"/>
    </row>
    <row r="482" spans="2:57" x14ac:dyDescent="0.3">
      <c r="B482" s="223" t="s">
        <v>580</v>
      </c>
      <c r="C482" s="223" t="s">
        <v>589</v>
      </c>
      <c r="D482" s="223" t="s">
        <v>94</v>
      </c>
      <c r="E482" s="223">
        <v>2013</v>
      </c>
      <c r="F482" s="224"/>
      <c r="G482" s="225"/>
      <c r="H482" s="226">
        <f ca="1">IF(AND(E482&gt;=2018,SUMIF('DADOS BASE'!$C$101:$D$104,D482,'DADOS BASE'!$H$101:$H$104)&gt;J482),
SUMIF('DADOS BASE'!$C$101:$D$104,D482,'DADOS BASE'!$H$101:$H$104),
J482)</f>
        <v>1589336.0721330536</v>
      </c>
      <c r="I482" s="225"/>
      <c r="J482" s="226">
        <f t="shared" si="328"/>
        <v>1589336.0721330536</v>
      </c>
      <c r="K482" s="226"/>
      <c r="L482" s="227">
        <v>1613.9715224248</v>
      </c>
      <c r="M482" s="226">
        <f t="shared" si="329"/>
        <v>1.2591457842305535E-3</v>
      </c>
      <c r="N482" s="226">
        <f>L482*'DADOS BASE'!$I$29</f>
        <v>1589336.0721330536</v>
      </c>
      <c r="O482" s="228"/>
      <c r="P482" s="227">
        <v>0</v>
      </c>
      <c r="Q482" s="226">
        <f>P482*'DADOS BASE'!$I$33</f>
        <v>0</v>
      </c>
      <c r="R482" s="226"/>
      <c r="S482" s="227">
        <v>0</v>
      </c>
      <c r="T482" s="226">
        <f>S482*'DADOS BASE'!$I$37</f>
        <v>0</v>
      </c>
      <c r="U482" s="226"/>
      <c r="V482" s="226">
        <f t="shared" si="330"/>
        <v>0</v>
      </c>
      <c r="W482" s="228"/>
      <c r="X482" s="226"/>
      <c r="Y482" s="226"/>
      <c r="Z482" s="224"/>
      <c r="AA482" s="226"/>
      <c r="AB482" s="226"/>
      <c r="AC482" s="226"/>
      <c r="AD482" s="226"/>
      <c r="AE482" s="227">
        <v>1073</v>
      </c>
      <c r="AF482" s="227">
        <v>647.49234689611001</v>
      </c>
      <c r="AG482" s="226" t="s">
        <v>155</v>
      </c>
      <c r="AH482" s="229">
        <v>0.745</v>
      </c>
      <c r="AI482" s="225">
        <f t="shared" si="331"/>
        <v>482.38179843760196</v>
      </c>
      <c r="AJ482" s="226">
        <f t="shared" si="332"/>
        <v>3.0581616011261189E-2</v>
      </c>
      <c r="AK482" s="226"/>
      <c r="AL482" s="226">
        <f t="shared" si="333"/>
        <v>174.18158038496705</v>
      </c>
      <c r="AM482" s="228">
        <f t="shared" si="334"/>
        <v>112781.24026953576</v>
      </c>
      <c r="AN482" s="226"/>
      <c r="AO482" s="227">
        <v>1.51</v>
      </c>
      <c r="AP482" s="225"/>
      <c r="AQ482" s="226">
        <f t="shared" si="335"/>
        <v>977.7134438131261</v>
      </c>
      <c r="AR482" s="226">
        <f t="shared" si="336"/>
        <v>1.0402769764404618E-3</v>
      </c>
      <c r="AS482" s="228">
        <f>AR482*'DADOS BASE'!W$38</f>
        <v>312056.84434883064</v>
      </c>
      <c r="AT482" s="225"/>
      <c r="AU482" s="227">
        <v>0</v>
      </c>
      <c r="AV482" s="227">
        <v>0</v>
      </c>
      <c r="AW482" s="226">
        <f t="shared" si="337"/>
        <v>0</v>
      </c>
      <c r="AX482" s="226">
        <f>IF($AW$11&gt;0,(AW482/$AW$11)*'DADOS BASE'!W$40,0)</f>
        <v>0</v>
      </c>
      <c r="AY482" s="226">
        <f t="shared" si="338"/>
        <v>0</v>
      </c>
      <c r="AZ482" s="226">
        <f t="shared" si="339"/>
        <v>0</v>
      </c>
      <c r="BA482" s="226">
        <f>AZ482*'DADOS BASE'!W$41</f>
        <v>0</v>
      </c>
      <c r="BB482" s="225"/>
      <c r="BC482" s="227">
        <v>0</v>
      </c>
      <c r="BD482" s="226">
        <f>IF($BC$11&gt;0,(BC482/$BC$11)*'DADOS BASE'!W$39,0)</f>
        <v>0</v>
      </c>
      <c r="BE482" s="187"/>
    </row>
    <row r="483" spans="2:57" x14ac:dyDescent="0.3">
      <c r="B483" s="184" t="s">
        <v>580</v>
      </c>
      <c r="C483" s="184" t="s">
        <v>590</v>
      </c>
      <c r="D483" s="184" t="s">
        <v>94</v>
      </c>
      <c r="E483" s="184">
        <v>2015</v>
      </c>
      <c r="F483" s="185"/>
      <c r="H483" s="186">
        <f ca="1">IF(AND(E483&gt;=2018,SUMIF('DADOS BASE'!$C$101:$D$104,D483,'DADOS BASE'!$H$101:$H$104)&gt;J483),
SUMIF('DADOS BASE'!$C$101:$D$104,D483,'DADOS BASE'!$H$101:$H$104),
J483)</f>
        <v>673285.26298370911</v>
      </c>
      <c r="J483" s="186">
        <f t="shared" si="328"/>
        <v>673285.26298370911</v>
      </c>
      <c r="K483" s="186"/>
      <c r="L483" s="188">
        <v>683.72149854095005</v>
      </c>
      <c r="M483" s="186">
        <f t="shared" si="329"/>
        <v>5.3340782691272423E-4</v>
      </c>
      <c r="N483" s="186">
        <f>L483*'DADOS BASE'!$I$29</f>
        <v>673285.26298370911</v>
      </c>
      <c r="O483" s="187"/>
      <c r="P483" s="188">
        <v>0</v>
      </c>
      <c r="Q483" s="186">
        <f>P483*'DADOS BASE'!$I$33</f>
        <v>0</v>
      </c>
      <c r="R483" s="186"/>
      <c r="S483" s="188">
        <v>0</v>
      </c>
      <c r="T483" s="186">
        <f>S483*'DADOS BASE'!$I$37</f>
        <v>0</v>
      </c>
      <c r="U483" s="186"/>
      <c r="V483" s="186">
        <f t="shared" si="330"/>
        <v>0</v>
      </c>
      <c r="W483" s="187"/>
      <c r="X483" s="186"/>
      <c r="Y483" s="186"/>
      <c r="Z483" s="185"/>
      <c r="AA483" s="186"/>
      <c r="AB483" s="186"/>
      <c r="AC483" s="186"/>
      <c r="AD483" s="186"/>
      <c r="AE483" s="188">
        <v>467</v>
      </c>
      <c r="AF483" s="188">
        <v>366.09822247917998</v>
      </c>
      <c r="AG483" s="186" t="s">
        <v>155</v>
      </c>
      <c r="AH483" s="189">
        <v>0.70599999999999996</v>
      </c>
      <c r="AI483" s="183">
        <f t="shared" si="331"/>
        <v>258.46534507030105</v>
      </c>
      <c r="AJ483" s="186">
        <f t="shared" si="332"/>
        <v>-2.2021352448851061E-2</v>
      </c>
      <c r="AK483" s="186"/>
      <c r="AL483" s="186">
        <f t="shared" si="333"/>
        <v>183.6330910336751</v>
      </c>
      <c r="AM483" s="187">
        <f t="shared" si="334"/>
        <v>67227.74821578589</v>
      </c>
      <c r="AN483" s="186"/>
      <c r="AO483" s="188">
        <v>1.6697530864198</v>
      </c>
      <c r="AQ483" s="186">
        <f t="shared" si="335"/>
        <v>611.29363691741344</v>
      </c>
      <c r="AR483" s="186">
        <f t="shared" si="336"/>
        <v>6.50410097512462E-4</v>
      </c>
      <c r="AS483" s="187">
        <f>AR483*'DADOS BASE'!W$38</f>
        <v>195106.61790943751</v>
      </c>
      <c r="AU483" s="188">
        <v>0</v>
      </c>
      <c r="AV483" s="188">
        <v>0</v>
      </c>
      <c r="AW483" s="186">
        <f t="shared" si="337"/>
        <v>0</v>
      </c>
      <c r="AX483" s="186">
        <f>IF($AW$11&gt;0,(AW483/$AW$11)*'DADOS BASE'!W$40,0)</f>
        <v>0</v>
      </c>
      <c r="AY483" s="186">
        <f t="shared" si="338"/>
        <v>0</v>
      </c>
      <c r="AZ483" s="186">
        <f t="shared" si="339"/>
        <v>0</v>
      </c>
      <c r="BA483" s="186">
        <f>AZ483*'DADOS BASE'!W$41</f>
        <v>0</v>
      </c>
      <c r="BC483" s="188">
        <v>0</v>
      </c>
      <c r="BD483" s="186">
        <f>IF($BC$11&gt;0,(BC483/$BC$11)*'DADOS BASE'!W$39,0)</f>
        <v>0</v>
      </c>
      <c r="BE483" s="187"/>
    </row>
    <row r="484" spans="2:57" x14ac:dyDescent="0.3">
      <c r="B484" s="223" t="s">
        <v>580</v>
      </c>
      <c r="C484" s="223" t="s">
        <v>591</v>
      </c>
      <c r="D484" s="223" t="s">
        <v>94</v>
      </c>
      <c r="E484" s="223">
        <v>2014</v>
      </c>
      <c r="F484" s="224"/>
      <c r="G484" s="225"/>
      <c r="H484" s="226">
        <f ca="1">IF(AND(E484&gt;=2018,SUMIF('DADOS BASE'!$C$101:$D$104,D484,'DADOS BASE'!$H$101:$H$104)&gt;J484),
SUMIF('DADOS BASE'!$C$101:$D$104,D484,'DADOS BASE'!$H$101:$H$104),
J484)</f>
        <v>1240658.1763768245</v>
      </c>
      <c r="I484" s="225"/>
      <c r="J484" s="226">
        <f t="shared" si="328"/>
        <v>1240658.1763768245</v>
      </c>
      <c r="K484" s="226"/>
      <c r="L484" s="227">
        <v>1251.2050442945999</v>
      </c>
      <c r="M484" s="226">
        <f t="shared" si="329"/>
        <v>9.761321899686452E-4</v>
      </c>
      <c r="N484" s="226">
        <f>L484*'DADOS BASE'!$I$29</f>
        <v>1232106.8140933677</v>
      </c>
      <c r="O484" s="228"/>
      <c r="P484" s="227">
        <v>0</v>
      </c>
      <c r="Q484" s="226">
        <f>P484*'DADOS BASE'!$I$33</f>
        <v>0</v>
      </c>
      <c r="R484" s="226"/>
      <c r="S484" s="227">
        <v>10.854890483384001</v>
      </c>
      <c r="T484" s="226">
        <f>S484*'DADOS BASE'!$I$37</f>
        <v>8551.3622834568032</v>
      </c>
      <c r="U484" s="226"/>
      <c r="V484" s="226">
        <f t="shared" si="330"/>
        <v>8551.3622834568032</v>
      </c>
      <c r="W484" s="228"/>
      <c r="X484" s="226"/>
      <c r="Y484" s="226"/>
      <c r="Z484" s="224"/>
      <c r="AA484" s="226"/>
      <c r="AB484" s="226"/>
      <c r="AC484" s="226"/>
      <c r="AD484" s="226"/>
      <c r="AE484" s="227">
        <v>648</v>
      </c>
      <c r="AF484" s="227">
        <v>593.06556560231002</v>
      </c>
      <c r="AG484" s="226" t="s">
        <v>155</v>
      </c>
      <c r="AH484" s="229">
        <v>0.78200000000000003</v>
      </c>
      <c r="AI484" s="225">
        <f t="shared" si="331"/>
        <v>463.77727230100646</v>
      </c>
      <c r="AJ484" s="226">
        <f t="shared" si="332"/>
        <v>8.0486996345213835E-2</v>
      </c>
      <c r="AK484" s="226"/>
      <c r="AL484" s="226">
        <f t="shared" si="333"/>
        <v>165.21476259003887</v>
      </c>
      <c r="AM484" s="228">
        <f t="shared" si="334"/>
        <v>97983.18662131278</v>
      </c>
      <c r="AN484" s="226"/>
      <c r="AO484" s="227">
        <v>1.6673427991886001</v>
      </c>
      <c r="AP484" s="225"/>
      <c r="AQ484" s="226">
        <f t="shared" si="335"/>
        <v>988.84360025372587</v>
      </c>
      <c r="AR484" s="226">
        <f t="shared" si="336"/>
        <v>1.0521193476000319E-3</v>
      </c>
      <c r="AS484" s="228">
        <f>AR484*'DADOS BASE'!W$38</f>
        <v>315609.25688641076</v>
      </c>
      <c r="AT484" s="225"/>
      <c r="AU484" s="227">
        <v>7.2365936555891004</v>
      </c>
      <c r="AV484" s="227">
        <v>8.75</v>
      </c>
      <c r="AW484" s="226">
        <f t="shared" si="337"/>
        <v>1.8091484138972751</v>
      </c>
      <c r="AX484" s="226">
        <f>IF($AW$11&gt;0,(AW484/$AW$11)*'DADOS BASE'!W$40,0)</f>
        <v>325.06122752386801</v>
      </c>
      <c r="AY484" s="226">
        <f t="shared" si="338"/>
        <v>3.0164705805750986</v>
      </c>
      <c r="AZ484" s="226">
        <f t="shared" si="339"/>
        <v>1.5776236299355417E-4</v>
      </c>
      <c r="BA484" s="226">
        <f>AZ484*'DADOS BASE'!W$41</f>
        <v>1165.5252682108514</v>
      </c>
      <c r="BB484" s="225"/>
      <c r="BC484" s="227">
        <v>0</v>
      </c>
      <c r="BD484" s="226">
        <f>IF($BC$11&gt;0,(BC484/$BC$11)*'DADOS BASE'!W$39,0)</f>
        <v>0</v>
      </c>
      <c r="BE484" s="187"/>
    </row>
    <row r="485" spans="2:57" x14ac:dyDescent="0.3">
      <c r="B485" s="184" t="s">
        <v>580</v>
      </c>
      <c r="C485" s="184" t="s">
        <v>592</v>
      </c>
      <c r="D485" s="184" t="s">
        <v>94</v>
      </c>
      <c r="E485" s="184">
        <v>2016</v>
      </c>
      <c r="F485" s="185"/>
      <c r="H485" s="186">
        <f ca="1">IF(AND(E485&gt;=2018,SUMIF('DADOS BASE'!$C$101:$D$104,D485,'DADOS BASE'!$H$101:$H$104)&gt;J485),
SUMIF('DADOS BASE'!$C$101:$D$104,D485,'DADOS BASE'!$H$101:$H$104),
J485)</f>
        <v>2273193.486043198</v>
      </c>
      <c r="J485" s="186">
        <f t="shared" si="328"/>
        <v>2273193.486043198</v>
      </c>
      <c r="K485" s="186"/>
      <c r="L485" s="188">
        <v>1198.5854123009001</v>
      </c>
      <c r="M485" s="186">
        <f t="shared" si="329"/>
        <v>9.3508079168059556E-4</v>
      </c>
      <c r="N485" s="186">
        <f>L485*'DADOS BASE'!$I$29</f>
        <v>1180290.3612824103</v>
      </c>
      <c r="O485" s="187"/>
      <c r="P485" s="188">
        <v>0</v>
      </c>
      <c r="Q485" s="186">
        <f>P485*'DADOS BASE'!$I$33</f>
        <v>0</v>
      </c>
      <c r="R485" s="186"/>
      <c r="S485" s="188">
        <v>1387.3045410760999</v>
      </c>
      <c r="T485" s="186">
        <f>S485*'DADOS BASE'!$I$37</f>
        <v>1092903.1247607877</v>
      </c>
      <c r="U485" s="186"/>
      <c r="V485" s="186">
        <f t="shared" si="330"/>
        <v>1092903.1247607877</v>
      </c>
      <c r="W485" s="187"/>
      <c r="X485" s="186"/>
      <c r="Y485" s="186"/>
      <c r="Z485" s="185"/>
      <c r="AA485" s="186"/>
      <c r="AB485" s="186"/>
      <c r="AC485" s="186"/>
      <c r="AD485" s="186"/>
      <c r="AE485" s="188">
        <v>770</v>
      </c>
      <c r="AF485" s="188">
        <v>636.23563767549001</v>
      </c>
      <c r="AG485" s="186" t="s">
        <v>155</v>
      </c>
      <c r="AH485" s="189">
        <v>0.73299999999999998</v>
      </c>
      <c r="AI485" s="183">
        <f t="shared" si="331"/>
        <v>466.36072241613419</v>
      </c>
      <c r="AJ485" s="186">
        <f t="shared" si="332"/>
        <v>1.4396087254303573E-2</v>
      </c>
      <c r="AK485" s="186"/>
      <c r="AL485" s="186">
        <f t="shared" si="333"/>
        <v>177.08973750764645</v>
      </c>
      <c r="AM485" s="187">
        <f t="shared" si="334"/>
        <v>112670.80206896258</v>
      </c>
      <c r="AN485" s="186"/>
      <c r="AO485" s="188">
        <v>1.7952846463484999</v>
      </c>
      <c r="AQ485" s="186">
        <f t="shared" si="335"/>
        <v>1142.2240717785544</v>
      </c>
      <c r="AR485" s="186">
        <f t="shared" si="336"/>
        <v>1.2153145804901281E-3</v>
      </c>
      <c r="AS485" s="187">
        <f>AR485*'DADOS BASE'!W$38</f>
        <v>364563.70896196394</v>
      </c>
      <c r="AU485" s="188">
        <v>885.54623344557001</v>
      </c>
      <c r="AV485" s="188">
        <v>1120.75</v>
      </c>
      <c r="AW485" s="186">
        <f t="shared" si="337"/>
        <v>221.3865583613925</v>
      </c>
      <c r="AX485" s="186">
        <f>IF($AW$11&gt;0,(AW485/$AW$11)*'DADOS BASE'!W$40,0)</f>
        <v>39777.934118303274</v>
      </c>
      <c r="AY485" s="186">
        <f t="shared" si="338"/>
        <v>397.4518891341441</v>
      </c>
      <c r="AZ485" s="186">
        <f t="shared" si="339"/>
        <v>2.0786859188959901E-2</v>
      </c>
      <c r="BA485" s="186">
        <f>AZ485*'DADOS BASE'!W$41</f>
        <v>153570.27602625079</v>
      </c>
      <c r="BC485" s="188">
        <v>0</v>
      </c>
      <c r="BD485" s="186">
        <f>IF($BC$11&gt;0,(BC485/$BC$11)*'DADOS BASE'!W$39,0)</f>
        <v>0</v>
      </c>
      <c r="BE485" s="187"/>
    </row>
    <row r="486" spans="2:57" x14ac:dyDescent="0.3">
      <c r="B486" s="223" t="s">
        <v>580</v>
      </c>
      <c r="C486" s="223" t="s">
        <v>593</v>
      </c>
      <c r="D486" s="223" t="s">
        <v>94</v>
      </c>
      <c r="E486" s="223">
        <v>2009</v>
      </c>
      <c r="F486" s="224"/>
      <c r="G486" s="225"/>
      <c r="H486" s="226">
        <f ca="1">IF(AND(E486&gt;=2018,SUMIF('DADOS BASE'!$C$101:$D$104,D486,'DADOS BASE'!$H$101:$H$104)&gt;J486),
SUMIF('DADOS BASE'!$C$101:$D$104,D486,'DADOS BASE'!$H$101:$H$104),
J486)</f>
        <v>2953043.650375085</v>
      </c>
      <c r="I486" s="225"/>
      <c r="J486" s="226">
        <f t="shared" si="328"/>
        <v>2953043.650375085</v>
      </c>
      <c r="K486" s="226"/>
      <c r="L486" s="227">
        <v>2913.5148785019001</v>
      </c>
      <c r="M486" s="226">
        <f t="shared" si="329"/>
        <v>2.2729892848710963E-3</v>
      </c>
      <c r="N486" s="226">
        <f>L486*'DADOS BASE'!$I$29</f>
        <v>2869043.3683381006</v>
      </c>
      <c r="O486" s="228"/>
      <c r="P486" s="227">
        <v>0</v>
      </c>
      <c r="Q486" s="226">
        <f>P486*'DADOS BASE'!$I$33</f>
        <v>0</v>
      </c>
      <c r="R486" s="226"/>
      <c r="S486" s="227">
        <v>106.62790697673999</v>
      </c>
      <c r="T486" s="226">
        <f>S486*'DADOS BASE'!$I$37</f>
        <v>84000.282036984499</v>
      </c>
      <c r="U486" s="226"/>
      <c r="V486" s="226">
        <f t="shared" si="330"/>
        <v>84000.282036984499</v>
      </c>
      <c r="W486" s="228"/>
      <c r="X486" s="226"/>
      <c r="Y486" s="226"/>
      <c r="Z486" s="224"/>
      <c r="AA486" s="226"/>
      <c r="AB486" s="226"/>
      <c r="AC486" s="226"/>
      <c r="AD486" s="226"/>
      <c r="AE486" s="227">
        <v>2593</v>
      </c>
      <c r="AF486" s="227">
        <v>1563.3679418014999</v>
      </c>
      <c r="AG486" s="226" t="s">
        <v>155</v>
      </c>
      <c r="AH486" s="229">
        <v>0.82299999999999995</v>
      </c>
      <c r="AI486" s="225">
        <f t="shared" si="331"/>
        <v>1286.6518161026343</v>
      </c>
      <c r="AJ486" s="226">
        <f t="shared" si="332"/>
        <v>0.13578755293148553</v>
      </c>
      <c r="AK486" s="226"/>
      <c r="AL486" s="226">
        <f t="shared" si="333"/>
        <v>155.27855908755095</v>
      </c>
      <c r="AM486" s="228">
        <f t="shared" si="334"/>
        <v>242757.52132660712</v>
      </c>
      <c r="AN486" s="226"/>
      <c r="AO486" s="227">
        <v>1.6643044619423</v>
      </c>
      <c r="AP486" s="225"/>
      <c r="AQ486" s="226">
        <f t="shared" si="335"/>
        <v>2601.9202411977863</v>
      </c>
      <c r="AR486" s="226">
        <f t="shared" si="336"/>
        <v>2.7684161842923528E-3</v>
      </c>
      <c r="AS486" s="228">
        <f>AR486*'DADOS BASE'!W$38</f>
        <v>830455.00177321874</v>
      </c>
      <c r="AT486" s="225"/>
      <c r="AU486" s="227">
        <v>106.62790697673999</v>
      </c>
      <c r="AV486" s="227">
        <v>163.75</v>
      </c>
      <c r="AW486" s="226">
        <f t="shared" si="337"/>
        <v>26.656976744184998</v>
      </c>
      <c r="AX486" s="226">
        <f>IF($AW$11&gt;0,(AW486/$AW$11)*'DADOS BASE'!W$40,0)</f>
        <v>4789.6289303725362</v>
      </c>
      <c r="AY486" s="226">
        <f t="shared" si="338"/>
        <v>44.36532533723922</v>
      </c>
      <c r="AZ486" s="226">
        <f t="shared" si="339"/>
        <v>2.3203205114124626E-3</v>
      </c>
      <c r="BA486" s="226">
        <f>AZ486*'DADOS BASE'!W$41</f>
        <v>17142.188637917687</v>
      </c>
      <c r="BB486" s="225"/>
      <c r="BC486" s="227">
        <v>0</v>
      </c>
      <c r="BD486" s="226">
        <f>IF($BC$11&gt;0,(BC486/$BC$11)*'DADOS BASE'!W$39,0)</f>
        <v>0</v>
      </c>
      <c r="BE486" s="187"/>
    </row>
    <row r="487" spans="2:57" x14ac:dyDescent="0.3">
      <c r="B487" s="184" t="s">
        <v>580</v>
      </c>
      <c r="C487" s="184" t="s">
        <v>594</v>
      </c>
      <c r="D487" s="184" t="s">
        <v>94</v>
      </c>
      <c r="E487" s="184">
        <v>2010</v>
      </c>
      <c r="F487" s="185"/>
      <c r="H487" s="186">
        <f ca="1">IF(AND(E487&gt;=2018,SUMIF('DADOS BASE'!$C$101:$D$104,D487,'DADOS BASE'!$H$101:$H$104)&gt;J487),
SUMIF('DADOS BASE'!$C$101:$D$104,D487,'DADOS BASE'!$H$101:$H$104),
J487)</f>
        <v>2141818.2200117074</v>
      </c>
      <c r="J487" s="186">
        <f t="shared" si="328"/>
        <v>2141818.2200117074</v>
      </c>
      <c r="K487" s="186"/>
      <c r="L487" s="188">
        <v>2169.9537427584</v>
      </c>
      <c r="M487" s="186">
        <f t="shared" si="329"/>
        <v>1.6928973462088184E-3</v>
      </c>
      <c r="N487" s="186">
        <f>L487*'DADOS BASE'!$I$29</f>
        <v>2136831.8525500773</v>
      </c>
      <c r="O487" s="187"/>
      <c r="P487" s="188">
        <v>0</v>
      </c>
      <c r="Q487" s="186">
        <f>P487*'DADOS BASE'!$I$33</f>
        <v>0</v>
      </c>
      <c r="R487" s="186"/>
      <c r="S487" s="188">
        <v>6.3295731032956999</v>
      </c>
      <c r="T487" s="186">
        <f>S487*'DADOS BASE'!$I$37</f>
        <v>4986.3674616302178</v>
      </c>
      <c r="U487" s="186"/>
      <c r="V487" s="186">
        <f t="shared" si="330"/>
        <v>4986.3674616302178</v>
      </c>
      <c r="W487" s="187"/>
      <c r="X487" s="186"/>
      <c r="Y487" s="186"/>
      <c r="Z487" s="185"/>
      <c r="AA487" s="186"/>
      <c r="AB487" s="186"/>
      <c r="AC487" s="186"/>
      <c r="AD487" s="186"/>
      <c r="AE487" s="188">
        <v>1250</v>
      </c>
      <c r="AF487" s="188">
        <v>876.80295325439999</v>
      </c>
      <c r="AG487" s="186" t="s">
        <v>155</v>
      </c>
      <c r="AH487" s="189">
        <v>0.751</v>
      </c>
      <c r="AI487" s="183">
        <f t="shared" si="331"/>
        <v>658.47901789405444</v>
      </c>
      <c r="AJ487" s="186">
        <f t="shared" si="332"/>
        <v>3.8674380389739998E-2</v>
      </c>
      <c r="AK487" s="186"/>
      <c r="AL487" s="186">
        <f t="shared" si="333"/>
        <v>172.72750182362734</v>
      </c>
      <c r="AM487" s="187">
        <f t="shared" si="334"/>
        <v>151447.98370721121</v>
      </c>
      <c r="AN487" s="186"/>
      <c r="AO487" s="188">
        <v>1.6804469273742999</v>
      </c>
      <c r="AQ487" s="186">
        <f t="shared" si="335"/>
        <v>1473.4208287090685</v>
      </c>
      <c r="AR487" s="186">
        <f t="shared" si="336"/>
        <v>1.5677044991178749E-3</v>
      </c>
      <c r="AS487" s="187">
        <f>AR487*'DADOS BASE'!W$38</f>
        <v>470271.7929412786</v>
      </c>
      <c r="AU487" s="188">
        <v>6.3295731032956999</v>
      </c>
      <c r="AV487" s="188">
        <v>11.5</v>
      </c>
      <c r="AW487" s="186">
        <f t="shared" si="337"/>
        <v>1.582393275823925</v>
      </c>
      <c r="AX487" s="186">
        <f>IF($AW$11&gt;0,(AW487/$AW$11)*'DADOS BASE'!W$40,0)</f>
        <v>284.31868646794516</v>
      </c>
      <c r="AY487" s="186">
        <f t="shared" si="338"/>
        <v>2.6591279182560679</v>
      </c>
      <c r="AZ487" s="186">
        <f t="shared" si="339"/>
        <v>1.39073229020595E-4</v>
      </c>
      <c r="BA487" s="186">
        <f>AZ487*'DADOS BASE'!W$41</f>
        <v>1027.4526793301197</v>
      </c>
      <c r="BC487" s="188">
        <v>0</v>
      </c>
      <c r="BD487" s="186">
        <f>IF($BC$11&gt;0,(BC487/$BC$11)*'DADOS BASE'!W$39,0)</f>
        <v>0</v>
      </c>
      <c r="BE487" s="187"/>
    </row>
    <row r="488" spans="2:57" x14ac:dyDescent="0.3">
      <c r="B488" s="223" t="s">
        <v>580</v>
      </c>
      <c r="C488" s="223" t="s">
        <v>595</v>
      </c>
      <c r="D488" s="223" t="s">
        <v>94</v>
      </c>
      <c r="E488" s="223">
        <v>2013</v>
      </c>
      <c r="F488" s="224"/>
      <c r="G488" s="225"/>
      <c r="H488" s="226">
        <f ca="1">IF(AND(E488&gt;=2018,SUMIF('DADOS BASE'!$C$101:$D$104,D488,'DADOS BASE'!$H$101:$H$104)&gt;J488),
SUMIF('DADOS BASE'!$C$101:$D$104,D488,'DADOS BASE'!$H$101:$H$104),
J488)</f>
        <v>2056334.260539009</v>
      </c>
      <c r="I488" s="225"/>
      <c r="J488" s="226">
        <f t="shared" si="328"/>
        <v>2056334.260539009</v>
      </c>
      <c r="K488" s="226"/>
      <c r="L488" s="227">
        <v>2082.1697975906</v>
      </c>
      <c r="M488" s="226">
        <f t="shared" si="329"/>
        <v>1.6244123804300546E-3</v>
      </c>
      <c r="N488" s="226">
        <f>L488*'DADOS BASE'!$I$29</f>
        <v>2050387.8300435802</v>
      </c>
      <c r="O488" s="228"/>
      <c r="P488" s="227">
        <v>0</v>
      </c>
      <c r="Q488" s="226">
        <f>P488*'DADOS BASE'!$I$33</f>
        <v>0</v>
      </c>
      <c r="R488" s="226"/>
      <c r="S488" s="227">
        <v>7.5482536764706003</v>
      </c>
      <c r="T488" s="226">
        <f>S488*'DADOS BASE'!$I$37</f>
        <v>5946.4304954288327</v>
      </c>
      <c r="U488" s="226"/>
      <c r="V488" s="226">
        <f t="shared" si="330"/>
        <v>5946.4304954288327</v>
      </c>
      <c r="W488" s="228"/>
      <c r="X488" s="226"/>
      <c r="Y488" s="226"/>
      <c r="Z488" s="224"/>
      <c r="AA488" s="226"/>
      <c r="AB488" s="226"/>
      <c r="AC488" s="226"/>
      <c r="AD488" s="226"/>
      <c r="AE488" s="227">
        <v>883</v>
      </c>
      <c r="AF488" s="227">
        <v>806.13231669941001</v>
      </c>
      <c r="AG488" s="226" t="s">
        <v>155</v>
      </c>
      <c r="AH488" s="229">
        <v>0.72599999999999998</v>
      </c>
      <c r="AI488" s="225">
        <f t="shared" si="331"/>
        <v>585.25206192377163</v>
      </c>
      <c r="AJ488" s="226">
        <f t="shared" si="332"/>
        <v>4.9545288127449639E-3</v>
      </c>
      <c r="AK488" s="226"/>
      <c r="AL488" s="226">
        <f t="shared" si="333"/>
        <v>178.78616249587608</v>
      </c>
      <c r="AM488" s="228">
        <f t="shared" si="334"/>
        <v>144125.30336659777</v>
      </c>
      <c r="AN488" s="226"/>
      <c r="AO488" s="227">
        <v>1.7983354673495999</v>
      </c>
      <c r="AP488" s="225"/>
      <c r="AQ488" s="226">
        <f t="shared" si="335"/>
        <v>1449.6963364972491</v>
      </c>
      <c r="AR488" s="226">
        <f t="shared" si="336"/>
        <v>1.5424618851578547E-3</v>
      </c>
      <c r="AS488" s="228">
        <f>AR488*'DADOS BASE'!W$38</f>
        <v>462699.64568254276</v>
      </c>
      <c r="AT488" s="225"/>
      <c r="AU488" s="227">
        <v>3.0193014705882</v>
      </c>
      <c r="AV488" s="227">
        <v>3</v>
      </c>
      <c r="AW488" s="226">
        <f t="shared" si="337"/>
        <v>0.75482536764704999</v>
      </c>
      <c r="AX488" s="226">
        <f>IF($AW$11&gt;0,(AW488/$AW$11)*'DADOS BASE'!W$40,0)</f>
        <v>135.62428526520929</v>
      </c>
      <c r="AY488" s="226">
        <f t="shared" si="338"/>
        <v>1.3574292302948912</v>
      </c>
      <c r="AZ488" s="226">
        <f t="shared" si="339"/>
        <v>7.0993976983198338E-5</v>
      </c>
      <c r="BA488" s="226">
        <f>AZ488*'DADOS BASE'!W$41</f>
        <v>524.49312050478125</v>
      </c>
      <c r="BB488" s="225"/>
      <c r="BC488" s="227">
        <v>0</v>
      </c>
      <c r="BD488" s="226">
        <f>IF($BC$11&gt;0,(BC488/$BC$11)*'DADOS BASE'!W$39,0)</f>
        <v>0</v>
      </c>
      <c r="BE488" s="187"/>
    </row>
    <row r="489" spans="2:57" x14ac:dyDescent="0.3">
      <c r="B489" s="184" t="s">
        <v>580</v>
      </c>
      <c r="C489" s="184" t="s">
        <v>596</v>
      </c>
      <c r="D489" s="184" t="s">
        <v>94</v>
      </c>
      <c r="E489" s="184">
        <v>2013</v>
      </c>
      <c r="F489" s="185"/>
      <c r="H489" s="186">
        <f ca="1">IF(AND(E489&gt;=2018,SUMIF('DADOS BASE'!$C$101:$D$104,D489,'DADOS BASE'!$H$101:$H$104)&gt;J489),
SUMIF('DADOS BASE'!$C$101:$D$104,D489,'DADOS BASE'!$H$101:$H$104),
J489)</f>
        <v>1660506.8182612793</v>
      </c>
      <c r="J489" s="186">
        <f t="shared" si="328"/>
        <v>1660506.8182612793</v>
      </c>
      <c r="K489" s="186"/>
      <c r="L489" s="188">
        <v>1686.2454483079</v>
      </c>
      <c r="M489" s="186">
        <f t="shared" si="329"/>
        <v>1.3155305517565474E-3</v>
      </c>
      <c r="N489" s="186">
        <f>L489*'DADOS BASE'!$I$29</f>
        <v>1660506.8182612793</v>
      </c>
      <c r="O489" s="187"/>
      <c r="P489" s="188">
        <v>0</v>
      </c>
      <c r="Q489" s="186">
        <f>P489*'DADOS BASE'!$I$33</f>
        <v>0</v>
      </c>
      <c r="R489" s="186"/>
      <c r="S489" s="188">
        <v>0</v>
      </c>
      <c r="T489" s="186">
        <f>S489*'DADOS BASE'!$I$37</f>
        <v>0</v>
      </c>
      <c r="U489" s="186"/>
      <c r="V489" s="186">
        <f t="shared" si="330"/>
        <v>0</v>
      </c>
      <c r="W489" s="187"/>
      <c r="X489" s="186"/>
      <c r="Y489" s="186"/>
      <c r="Z489" s="185"/>
      <c r="AA489" s="186"/>
      <c r="AB489" s="186"/>
      <c r="AC489" s="186"/>
      <c r="AD489" s="186"/>
      <c r="AE489" s="188">
        <v>789</v>
      </c>
      <c r="AF489" s="188">
        <v>618.31565934038997</v>
      </c>
      <c r="AG489" s="186" t="s">
        <v>155</v>
      </c>
      <c r="AH489" s="189">
        <v>0.73</v>
      </c>
      <c r="AI489" s="183">
        <f t="shared" si="331"/>
        <v>451.37043131848469</v>
      </c>
      <c r="AJ489" s="186">
        <f t="shared" si="332"/>
        <v>1.034970506506417E-2</v>
      </c>
      <c r="AK489" s="186"/>
      <c r="AL489" s="186">
        <f t="shared" si="333"/>
        <v>177.8167767883163</v>
      </c>
      <c r="AM489" s="187">
        <f t="shared" si="334"/>
        <v>109946.89758165074</v>
      </c>
      <c r="AN489" s="186"/>
      <c r="AO489" s="188">
        <v>1.9053398058252</v>
      </c>
      <c r="AQ489" s="186">
        <f t="shared" si="335"/>
        <v>1178.1014383062991</v>
      </c>
      <c r="AR489" s="186">
        <f t="shared" si="336"/>
        <v>1.2534877268351036E-3</v>
      </c>
      <c r="AS489" s="187">
        <f>AR489*'DADOS BASE'!W$38</f>
        <v>376014.68966908229</v>
      </c>
      <c r="AU489" s="188">
        <v>0</v>
      </c>
      <c r="AV489" s="188">
        <v>0</v>
      </c>
      <c r="AW489" s="186">
        <f t="shared" si="337"/>
        <v>0</v>
      </c>
      <c r="AX489" s="186">
        <f>IF($AW$11&gt;0,(AW489/$AW$11)*'DADOS BASE'!W$40,0)</f>
        <v>0</v>
      </c>
      <c r="AY489" s="186">
        <f t="shared" si="338"/>
        <v>0</v>
      </c>
      <c r="AZ489" s="186">
        <f t="shared" si="339"/>
        <v>0</v>
      </c>
      <c r="BA489" s="186">
        <f>AZ489*'DADOS BASE'!W$41</f>
        <v>0</v>
      </c>
      <c r="BC489" s="188">
        <v>0</v>
      </c>
      <c r="BD489" s="186">
        <f>IF($BC$11&gt;0,(BC489/$BC$11)*'DADOS BASE'!W$39,0)</f>
        <v>0</v>
      </c>
      <c r="BE489" s="187"/>
    </row>
    <row r="490" spans="2:57" x14ac:dyDescent="0.3">
      <c r="B490" s="223" t="s">
        <v>580</v>
      </c>
      <c r="C490" s="223" t="s">
        <v>597</v>
      </c>
      <c r="D490" s="223" t="s">
        <v>94</v>
      </c>
      <c r="E490" s="223">
        <v>2010</v>
      </c>
      <c r="F490" s="224"/>
      <c r="G490" s="225"/>
      <c r="H490" s="226">
        <f ca="1">IF(AND(E490&gt;=2018,SUMIF('DADOS BASE'!$C$101:$D$104,D490,'DADOS BASE'!$H$101:$H$104)&gt;J490),
SUMIF('DADOS BASE'!$C$101:$D$104,D490,'DADOS BASE'!$H$101:$H$104),
J490)</f>
        <v>1658683.3342495637</v>
      </c>
      <c r="I490" s="225"/>
      <c r="J490" s="226">
        <f t="shared" si="328"/>
        <v>1658683.3342495637</v>
      </c>
      <c r="K490" s="226"/>
      <c r="L490" s="227">
        <v>1683.75006308</v>
      </c>
      <c r="M490" s="226">
        <f t="shared" si="329"/>
        <v>1.3135837678473611E-3</v>
      </c>
      <c r="N490" s="226">
        <f>L490*'DADOS BASE'!$I$29</f>
        <v>1658049.5222672266</v>
      </c>
      <c r="O490" s="228"/>
      <c r="P490" s="227">
        <v>0</v>
      </c>
      <c r="Q490" s="226">
        <f>P490*'DADOS BASE'!$I$33</f>
        <v>0</v>
      </c>
      <c r="R490" s="226"/>
      <c r="S490" s="227">
        <v>0.80454545454545001</v>
      </c>
      <c r="T490" s="226">
        <f>S490*'DADOS BASE'!$I$37</f>
        <v>633.81198233717703</v>
      </c>
      <c r="U490" s="226"/>
      <c r="V490" s="226">
        <f t="shared" si="330"/>
        <v>633.81198233717703</v>
      </c>
      <c r="W490" s="228"/>
      <c r="X490" s="226"/>
      <c r="Y490" s="226"/>
      <c r="Z490" s="224"/>
      <c r="AA490" s="226"/>
      <c r="AB490" s="226"/>
      <c r="AC490" s="226"/>
      <c r="AD490" s="226"/>
      <c r="AE490" s="227">
        <v>1006</v>
      </c>
      <c r="AF490" s="227">
        <v>764.12945175701998</v>
      </c>
      <c r="AG490" s="226" t="s">
        <v>155</v>
      </c>
      <c r="AH490" s="229">
        <v>0.74299999999999999</v>
      </c>
      <c r="AI490" s="225">
        <f t="shared" si="331"/>
        <v>567.74818265546583</v>
      </c>
      <c r="AJ490" s="226">
        <f t="shared" si="332"/>
        <v>2.7884027885101588E-2</v>
      </c>
      <c r="AK490" s="226"/>
      <c r="AL490" s="226">
        <f t="shared" si="333"/>
        <v>174.66627323874695</v>
      </c>
      <c r="AM490" s="228">
        <f t="shared" si="334"/>
        <v>133467.64361036557</v>
      </c>
      <c r="AN490" s="226"/>
      <c r="AO490" s="227">
        <v>1.7693565976009</v>
      </c>
      <c r="AP490" s="225"/>
      <c r="AQ490" s="226">
        <f t="shared" si="335"/>
        <v>1352.0174868874419</v>
      </c>
      <c r="AR490" s="226">
        <f t="shared" si="336"/>
        <v>1.4385326009925706E-3</v>
      </c>
      <c r="AS490" s="228">
        <f>AR490*'DADOS BASE'!W$38</f>
        <v>431523.48280808964</v>
      </c>
      <c r="AT490" s="225"/>
      <c r="AU490" s="227">
        <v>0.80454545454545001</v>
      </c>
      <c r="AV490" s="227">
        <v>4.5</v>
      </c>
      <c r="AW490" s="226">
        <f t="shared" si="337"/>
        <v>0.2011363636363625</v>
      </c>
      <c r="AX490" s="226">
        <f>IF($AW$11&gt;0,(AW490/$AW$11)*'DADOS BASE'!W$40,0)</f>
        <v>36.139452551865375</v>
      </c>
      <c r="AY490" s="226">
        <f t="shared" si="338"/>
        <v>0.35588195201745176</v>
      </c>
      <c r="AZ490" s="226">
        <f t="shared" si="339"/>
        <v>1.861273836336494E-5</v>
      </c>
      <c r="BA490" s="226">
        <f>AZ490*'DADOS BASE'!W$41</f>
        <v>137.50818928837722</v>
      </c>
      <c r="BB490" s="225"/>
      <c r="BC490" s="227">
        <v>0</v>
      </c>
      <c r="BD490" s="226">
        <f>IF($BC$11&gt;0,(BC490/$BC$11)*'DADOS BASE'!W$39,0)</f>
        <v>0</v>
      </c>
      <c r="BE490" s="187"/>
    </row>
    <row r="491" spans="2:57" x14ac:dyDescent="0.3">
      <c r="B491" s="184" t="s">
        <v>580</v>
      </c>
      <c r="C491" s="184" t="s">
        <v>598</v>
      </c>
      <c r="D491" s="184" t="s">
        <v>94</v>
      </c>
      <c r="E491" s="184">
        <v>2015</v>
      </c>
      <c r="F491" s="185"/>
      <c r="H491" s="186">
        <f ca="1">IF(AND(E491&gt;=2018,SUMIF('DADOS BASE'!$C$101:$D$104,D491,'DADOS BASE'!$H$101:$H$104)&gt;J491),
SUMIF('DADOS BASE'!$C$101:$D$104,D491,'DADOS BASE'!$H$101:$H$104),
J491)</f>
        <v>755400.35697774088</v>
      </c>
      <c r="J491" s="186">
        <f t="shared" si="328"/>
        <v>755400.35697774088</v>
      </c>
      <c r="K491" s="186"/>
      <c r="L491" s="188">
        <v>760.52436323919005</v>
      </c>
      <c r="M491" s="186">
        <f t="shared" si="329"/>
        <v>5.933258626140786E-4</v>
      </c>
      <c r="N491" s="186">
        <f>L491*'DADOS BASE'!$I$29</f>
        <v>748915.81879715866</v>
      </c>
      <c r="O491" s="187"/>
      <c r="P491" s="188">
        <v>0</v>
      </c>
      <c r="Q491" s="186">
        <f>P491*'DADOS BASE'!$I$33</f>
        <v>0</v>
      </c>
      <c r="R491" s="186"/>
      <c r="S491" s="188">
        <v>8.2313144329897003</v>
      </c>
      <c r="T491" s="186">
        <f>S491*'DADOS BASE'!$I$37</f>
        <v>6484.5381805821844</v>
      </c>
      <c r="U491" s="186"/>
      <c r="V491" s="186">
        <f t="shared" si="330"/>
        <v>6484.5381805821844</v>
      </c>
      <c r="W491" s="187"/>
      <c r="X491" s="186"/>
      <c r="Y491" s="186"/>
      <c r="Z491" s="185"/>
      <c r="AA491" s="186"/>
      <c r="AB491" s="186"/>
      <c r="AC491" s="186"/>
      <c r="AD491" s="186"/>
      <c r="AE491" s="188">
        <v>404</v>
      </c>
      <c r="AF491" s="188">
        <v>330.31166069483999</v>
      </c>
      <c r="AG491" s="186" t="s">
        <v>155</v>
      </c>
      <c r="AH491" s="189">
        <v>0.74299999999999999</v>
      </c>
      <c r="AI491" s="183">
        <f t="shared" si="331"/>
        <v>245.42156389626612</v>
      </c>
      <c r="AJ491" s="186">
        <f t="shared" si="332"/>
        <v>2.7884027885101588E-2</v>
      </c>
      <c r="AK491" s="186"/>
      <c r="AL491" s="186">
        <f t="shared" si="333"/>
        <v>174.66627323874695</v>
      </c>
      <c r="AM491" s="187">
        <f t="shared" si="334"/>
        <v>57694.306780869192</v>
      </c>
      <c r="AN491" s="186"/>
      <c r="AO491" s="188">
        <v>1.9579945799458001</v>
      </c>
      <c r="AQ491" s="186">
        <f t="shared" si="335"/>
        <v>646.74844133339286</v>
      </c>
      <c r="AR491" s="186">
        <f t="shared" si="336"/>
        <v>6.8813364214768589E-4</v>
      </c>
      <c r="AS491" s="187">
        <f>AR491*'DADOS BASE'!W$38</f>
        <v>206422.72944811673</v>
      </c>
      <c r="AU491" s="188">
        <v>5.4875429553265</v>
      </c>
      <c r="AV491" s="188">
        <v>8.75</v>
      </c>
      <c r="AW491" s="186">
        <f t="shared" si="337"/>
        <v>1.371885738831625</v>
      </c>
      <c r="AX491" s="186">
        <f>IF($AW$11&gt;0,(AW491/$AW$11)*'DADOS BASE'!W$40,0)</f>
        <v>246.49545546483716</v>
      </c>
      <c r="AY491" s="186">
        <f t="shared" si="338"/>
        <v>2.6861448409372612</v>
      </c>
      <c r="AZ491" s="186">
        <f t="shared" si="339"/>
        <v>1.4048622260006051E-4</v>
      </c>
      <c r="BA491" s="186">
        <f>AZ491*'DADOS BASE'!W$41</f>
        <v>1037.8916692732028</v>
      </c>
      <c r="BC491" s="188">
        <v>0</v>
      </c>
      <c r="BD491" s="186">
        <f>IF($BC$11&gt;0,(BC491/$BC$11)*'DADOS BASE'!W$39,0)</f>
        <v>0</v>
      </c>
      <c r="BE491" s="187"/>
    </row>
    <row r="492" spans="2:57" x14ac:dyDescent="0.3">
      <c r="B492" s="223" t="s">
        <v>580</v>
      </c>
      <c r="C492" s="223" t="s">
        <v>599</v>
      </c>
      <c r="D492" s="223" t="s">
        <v>94</v>
      </c>
      <c r="E492" s="223">
        <v>2013</v>
      </c>
      <c r="F492" s="224"/>
      <c r="G492" s="225"/>
      <c r="H492" s="226">
        <f ca="1">IF(AND(E492&gt;=2018,SUMIF('DADOS BASE'!$C$101:$D$104,D492,'DADOS BASE'!$H$101:$H$104)&gt;J492),
SUMIF('DADOS BASE'!$C$101:$D$104,D492,'DADOS BASE'!$H$101:$H$104),
J492)</f>
        <v>1260748.3216284446</v>
      </c>
      <c r="I492" s="225"/>
      <c r="J492" s="226">
        <f t="shared" si="328"/>
        <v>1260748.3216284446</v>
      </c>
      <c r="K492" s="226"/>
      <c r="L492" s="227">
        <v>1280.2905085532</v>
      </c>
      <c r="M492" s="226">
        <f t="shared" si="329"/>
        <v>9.9882332125241359E-4</v>
      </c>
      <c r="N492" s="226">
        <f>L492*'DADOS BASE'!$I$29</f>
        <v>1260748.3216284446</v>
      </c>
      <c r="O492" s="228"/>
      <c r="P492" s="227">
        <v>0</v>
      </c>
      <c r="Q492" s="226">
        <f>P492*'DADOS BASE'!$I$33</f>
        <v>0</v>
      </c>
      <c r="R492" s="226"/>
      <c r="S492" s="227">
        <v>0</v>
      </c>
      <c r="T492" s="226">
        <f>S492*'DADOS BASE'!$I$37</f>
        <v>0</v>
      </c>
      <c r="U492" s="226"/>
      <c r="V492" s="226">
        <f t="shared" si="330"/>
        <v>0</v>
      </c>
      <c r="W492" s="228"/>
      <c r="X492" s="226"/>
      <c r="Y492" s="226"/>
      <c r="Z492" s="224"/>
      <c r="AA492" s="226"/>
      <c r="AB492" s="226"/>
      <c r="AC492" s="226"/>
      <c r="AD492" s="226"/>
      <c r="AE492" s="227">
        <v>1048</v>
      </c>
      <c r="AF492" s="227">
        <v>656.21151752966</v>
      </c>
      <c r="AG492" s="226" t="s">
        <v>155</v>
      </c>
      <c r="AH492" s="229">
        <v>0.77800000000000002</v>
      </c>
      <c r="AI492" s="225">
        <f t="shared" si="331"/>
        <v>510.53256063807549</v>
      </c>
      <c r="AJ492" s="226">
        <f t="shared" si="332"/>
        <v>7.5091820092894626E-2</v>
      </c>
      <c r="AK492" s="226"/>
      <c r="AL492" s="226">
        <f t="shared" si="333"/>
        <v>166.18414829759868</v>
      </c>
      <c r="AM492" s="228">
        <f t="shared" si="334"/>
        <v>109051.95214374129</v>
      </c>
      <c r="AN492" s="226"/>
      <c r="AO492" s="227">
        <v>1.8057591623036999</v>
      </c>
      <c r="AP492" s="225"/>
      <c r="AQ492" s="226">
        <f t="shared" si="335"/>
        <v>1184.9599601883986</v>
      </c>
      <c r="AR492" s="226">
        <f t="shared" si="336"/>
        <v>1.2607851230727325E-3</v>
      </c>
      <c r="AS492" s="228">
        <f>AR492*'DADOS BASE'!W$38</f>
        <v>378203.72441026196</v>
      </c>
      <c r="AT492" s="225"/>
      <c r="AU492" s="227">
        <v>0</v>
      </c>
      <c r="AV492" s="227">
        <v>0</v>
      </c>
      <c r="AW492" s="226">
        <f t="shared" si="337"/>
        <v>0</v>
      </c>
      <c r="AX492" s="226">
        <f>IF($AW$11&gt;0,(AW492/$AW$11)*'DADOS BASE'!W$40,0)</f>
        <v>0</v>
      </c>
      <c r="AY492" s="226">
        <f t="shared" si="338"/>
        <v>0</v>
      </c>
      <c r="AZ492" s="226">
        <f t="shared" si="339"/>
        <v>0</v>
      </c>
      <c r="BA492" s="226">
        <f>AZ492*'DADOS BASE'!W$41</f>
        <v>0</v>
      </c>
      <c r="BB492" s="225"/>
      <c r="BC492" s="227">
        <v>0</v>
      </c>
      <c r="BD492" s="226">
        <f>IF($BC$11&gt;0,(BC492/$BC$11)*'DADOS BASE'!W$39,0)</f>
        <v>0</v>
      </c>
      <c r="BE492" s="187"/>
    </row>
    <row r="493" spans="2:57" x14ac:dyDescent="0.3">
      <c r="B493" s="184" t="s">
        <v>580</v>
      </c>
      <c r="C493" s="184" t="s">
        <v>600</v>
      </c>
      <c r="D493" s="184" t="s">
        <v>94</v>
      </c>
      <c r="E493" s="184">
        <v>2013</v>
      </c>
      <c r="F493" s="185"/>
      <c r="H493" s="186">
        <f ca="1">IF(AND(E493&gt;=2018,SUMIF('DADOS BASE'!$C$101:$D$104,D493,'DADOS BASE'!$H$101:$H$104)&gt;J493),
SUMIF('DADOS BASE'!$C$101:$D$104,D493,'DADOS BASE'!$H$101:$H$104),
J493)</f>
        <v>3881302.3791386052</v>
      </c>
      <c r="J493" s="186">
        <f t="shared" si="328"/>
        <v>3881302.3791386052</v>
      </c>
      <c r="K493" s="186"/>
      <c r="L493" s="188">
        <v>3941.4643760283998</v>
      </c>
      <c r="M493" s="186">
        <f t="shared" si="329"/>
        <v>3.0749478437605486E-3</v>
      </c>
      <c r="N493" s="186">
        <f>L493*'DADOS BASE'!$I$29</f>
        <v>3881302.3791386052</v>
      </c>
      <c r="O493" s="187"/>
      <c r="P493" s="188">
        <v>0</v>
      </c>
      <c r="Q493" s="186">
        <f>P493*'DADOS BASE'!$I$33</f>
        <v>0</v>
      </c>
      <c r="R493" s="186"/>
      <c r="S493" s="188">
        <v>0</v>
      </c>
      <c r="T493" s="186">
        <f>S493*'DADOS BASE'!$I$37</f>
        <v>0</v>
      </c>
      <c r="U493" s="186"/>
      <c r="V493" s="186">
        <f t="shared" si="330"/>
        <v>0</v>
      </c>
      <c r="W493" s="187"/>
      <c r="X493" s="186"/>
      <c r="Y493" s="186"/>
      <c r="Z493" s="185"/>
      <c r="AA493" s="186"/>
      <c r="AB493" s="186"/>
      <c r="AC493" s="186"/>
      <c r="AD493" s="186"/>
      <c r="AE493" s="188">
        <v>2711</v>
      </c>
      <c r="AF493" s="188">
        <v>1897.5562982964</v>
      </c>
      <c r="AG493" s="186" t="s">
        <v>155</v>
      </c>
      <c r="AH493" s="189">
        <v>0.66</v>
      </c>
      <c r="AI493" s="183">
        <f t="shared" si="331"/>
        <v>1252.387156875624</v>
      </c>
      <c r="AJ493" s="186">
        <f t="shared" si="332"/>
        <v>-8.4065879350521774E-2</v>
      </c>
      <c r="AK493" s="186"/>
      <c r="AL493" s="186">
        <f t="shared" si="333"/>
        <v>194.78102667061279</v>
      </c>
      <c r="AM493" s="187">
        <f t="shared" si="334"/>
        <v>369607.96394746035</v>
      </c>
      <c r="AN493" s="186"/>
      <c r="AO493" s="188">
        <v>1.4609479305741</v>
      </c>
      <c r="AQ493" s="186">
        <f t="shared" si="335"/>
        <v>2772.2309471439753</v>
      </c>
      <c r="AR493" s="186">
        <f t="shared" si="336"/>
        <v>2.9496250112326576E-3</v>
      </c>
      <c r="AS493" s="187">
        <f>AR493*'DADOS BASE'!W$38</f>
        <v>884813.07753938111</v>
      </c>
      <c r="AU493" s="188">
        <v>0</v>
      </c>
      <c r="AV493" s="188">
        <v>0</v>
      </c>
      <c r="AW493" s="186">
        <f t="shared" si="337"/>
        <v>0</v>
      </c>
      <c r="AX493" s="186">
        <f>IF($AW$11&gt;0,(AW493/$AW$11)*'DADOS BASE'!W$40,0)</f>
        <v>0</v>
      </c>
      <c r="AY493" s="186">
        <f t="shared" si="338"/>
        <v>0</v>
      </c>
      <c r="AZ493" s="186">
        <f t="shared" si="339"/>
        <v>0</v>
      </c>
      <c r="BA493" s="186">
        <f>AZ493*'DADOS BASE'!W$41</f>
        <v>0</v>
      </c>
      <c r="BC493" s="188">
        <v>0</v>
      </c>
      <c r="BD493" s="186">
        <f>IF($BC$11&gt;0,(BC493/$BC$11)*'DADOS BASE'!W$39,0)</f>
        <v>0</v>
      </c>
      <c r="BE493" s="187"/>
    </row>
    <row r="494" spans="2:57" x14ac:dyDescent="0.3">
      <c r="B494" s="223" t="s">
        <v>580</v>
      </c>
      <c r="C494" s="223" t="s">
        <v>601</v>
      </c>
      <c r="D494" s="223" t="s">
        <v>94</v>
      </c>
      <c r="E494" s="223">
        <v>2009</v>
      </c>
      <c r="F494" s="224"/>
      <c r="G494" s="225"/>
      <c r="H494" s="226">
        <f ca="1">IF(AND(E494&gt;=2018,SUMIF('DADOS BASE'!$C$101:$D$104,D494,'DADOS BASE'!$H$101:$H$104)&gt;J494),
SUMIF('DADOS BASE'!$C$101:$D$104,D494,'DADOS BASE'!$H$101:$H$104),
J494)</f>
        <v>1626307.7043313659</v>
      </c>
      <c r="I494" s="225"/>
      <c r="J494" s="226">
        <f t="shared" si="328"/>
        <v>1626307.7043313659</v>
      </c>
      <c r="K494" s="226"/>
      <c r="L494" s="227">
        <v>1651.5162321636001</v>
      </c>
      <c r="M494" s="226">
        <f t="shared" si="329"/>
        <v>1.288436426804436E-3</v>
      </c>
      <c r="N494" s="226">
        <f>L494*'DADOS BASE'!$I$29</f>
        <v>1626307.7043313659</v>
      </c>
      <c r="O494" s="228"/>
      <c r="P494" s="227">
        <v>0</v>
      </c>
      <c r="Q494" s="226">
        <f>P494*'DADOS BASE'!$I$33</f>
        <v>0</v>
      </c>
      <c r="R494" s="226"/>
      <c r="S494" s="227">
        <v>0</v>
      </c>
      <c r="T494" s="226">
        <f>S494*'DADOS BASE'!$I$37</f>
        <v>0</v>
      </c>
      <c r="U494" s="226"/>
      <c r="V494" s="226">
        <f t="shared" si="330"/>
        <v>0</v>
      </c>
      <c r="W494" s="228"/>
      <c r="X494" s="226"/>
      <c r="Y494" s="226"/>
      <c r="Z494" s="224"/>
      <c r="AA494" s="226"/>
      <c r="AB494" s="226"/>
      <c r="AC494" s="226"/>
      <c r="AD494" s="226"/>
      <c r="AE494" s="227">
        <v>1280</v>
      </c>
      <c r="AF494" s="227">
        <v>832.79511124530995</v>
      </c>
      <c r="AG494" s="226" t="s">
        <v>155</v>
      </c>
      <c r="AH494" s="229">
        <v>0.75</v>
      </c>
      <c r="AI494" s="225">
        <f t="shared" si="331"/>
        <v>624.59633343398241</v>
      </c>
      <c r="AJ494" s="226">
        <f t="shared" si="332"/>
        <v>3.7325586326660193E-2</v>
      </c>
      <c r="AK494" s="226"/>
      <c r="AL494" s="226">
        <f t="shared" si="333"/>
        <v>172.96984825051729</v>
      </c>
      <c r="AM494" s="228">
        <f t="shared" si="334"/>
        <v>144048.44401587392</v>
      </c>
      <c r="AN494" s="226"/>
      <c r="AO494" s="227">
        <v>1.8318335208098999</v>
      </c>
      <c r="AP494" s="225"/>
      <c r="AQ494" s="226">
        <f t="shared" si="335"/>
        <v>1525.5420007457685</v>
      </c>
      <c r="AR494" s="226">
        <f t="shared" si="336"/>
        <v>1.6231608862607267E-3</v>
      </c>
      <c r="AS494" s="228">
        <f>AR494*'DADOS BASE'!W$38</f>
        <v>486907.30979180062</v>
      </c>
      <c r="AT494" s="225"/>
      <c r="AU494" s="227">
        <v>0</v>
      </c>
      <c r="AV494" s="227">
        <v>0</v>
      </c>
      <c r="AW494" s="226">
        <f t="shared" si="337"/>
        <v>0</v>
      </c>
      <c r="AX494" s="226">
        <f>IF($AW$11&gt;0,(AW494/$AW$11)*'DADOS BASE'!W$40,0)</f>
        <v>0</v>
      </c>
      <c r="AY494" s="226">
        <f t="shared" si="338"/>
        <v>0</v>
      </c>
      <c r="AZ494" s="226">
        <f t="shared" si="339"/>
        <v>0</v>
      </c>
      <c r="BA494" s="226">
        <f>AZ494*'DADOS BASE'!W$41</f>
        <v>0</v>
      </c>
      <c r="BB494" s="225"/>
      <c r="BC494" s="227">
        <v>0</v>
      </c>
      <c r="BD494" s="226">
        <f>IF($BC$11&gt;0,(BC494/$BC$11)*'DADOS BASE'!W$39,0)</f>
        <v>0</v>
      </c>
      <c r="BE494" s="187"/>
    </row>
    <row r="495" spans="2:57" x14ac:dyDescent="0.3">
      <c r="B495" s="184" t="s">
        <v>580</v>
      </c>
      <c r="C495" s="184" t="s">
        <v>602</v>
      </c>
      <c r="D495" s="184" t="s">
        <v>94</v>
      </c>
      <c r="E495" s="184">
        <v>2010</v>
      </c>
      <c r="F495" s="185"/>
      <c r="H495" s="186">
        <f ca="1">IF(AND(E495&gt;=2018,SUMIF('DADOS BASE'!$C$101:$D$104,D495,'DADOS BASE'!$H$101:$H$104)&gt;J495),
SUMIF('DADOS BASE'!$C$101:$D$104,D495,'DADOS BASE'!$H$101:$H$104),
J495)</f>
        <v>2111840.6507308153</v>
      </c>
      <c r="J495" s="186">
        <f t="shared" si="328"/>
        <v>2111840.6507308153</v>
      </c>
      <c r="K495" s="186"/>
      <c r="L495" s="188">
        <v>2142.1751656565002</v>
      </c>
      <c r="M495" s="186">
        <f t="shared" si="329"/>
        <v>1.6712257877185971E-3</v>
      </c>
      <c r="N495" s="186">
        <f>L495*'DADOS BASE'!$I$29</f>
        <v>2109477.2840170157</v>
      </c>
      <c r="O495" s="187"/>
      <c r="P495" s="188">
        <v>0</v>
      </c>
      <c r="Q495" s="186">
        <f>P495*'DADOS BASE'!$I$33</f>
        <v>0</v>
      </c>
      <c r="R495" s="186"/>
      <c r="S495" s="188">
        <v>3</v>
      </c>
      <c r="T495" s="186">
        <f>S495*'DADOS BASE'!$I$37</f>
        <v>2363.3667137996567</v>
      </c>
      <c r="U495" s="186"/>
      <c r="V495" s="186">
        <f t="shared" si="330"/>
        <v>2363.3667137996567</v>
      </c>
      <c r="W495" s="187"/>
      <c r="X495" s="186"/>
      <c r="Y495" s="186"/>
      <c r="Z495" s="185"/>
      <c r="AA495" s="186"/>
      <c r="AB495" s="186"/>
      <c r="AC495" s="186"/>
      <c r="AD495" s="186"/>
      <c r="AE495" s="188">
        <v>1220</v>
      </c>
      <c r="AF495" s="188">
        <v>850.04350957660995</v>
      </c>
      <c r="AG495" s="186" t="s">
        <v>155</v>
      </c>
      <c r="AH495" s="189">
        <v>0.76300000000000001</v>
      </c>
      <c r="AI495" s="183">
        <f t="shared" si="331"/>
        <v>648.58319780695342</v>
      </c>
      <c r="AJ495" s="186">
        <f t="shared" si="332"/>
        <v>5.4859909146697611E-2</v>
      </c>
      <c r="AK495" s="186"/>
      <c r="AL495" s="186">
        <f t="shared" si="333"/>
        <v>169.81934470094794</v>
      </c>
      <c r="AM495" s="187">
        <f t="shared" si="334"/>
        <v>144353.83176359386</v>
      </c>
      <c r="AN495" s="186"/>
      <c r="AO495" s="188">
        <v>1.9291666666667</v>
      </c>
      <c r="AQ495" s="186">
        <f t="shared" si="335"/>
        <v>1639.8756038915717</v>
      </c>
      <c r="AR495" s="186">
        <f t="shared" si="336"/>
        <v>1.7448106556677975E-3</v>
      </c>
      <c r="AS495" s="187">
        <f>AR495*'DADOS BASE'!W$38</f>
        <v>523399.17111014645</v>
      </c>
      <c r="AU495" s="188">
        <v>3</v>
      </c>
      <c r="AV495" s="188">
        <v>15</v>
      </c>
      <c r="AW495" s="186">
        <f t="shared" si="337"/>
        <v>0.75</v>
      </c>
      <c r="AX495" s="186">
        <f>IF($AW$11&gt;0,(AW495/$AW$11)*'DADOS BASE'!W$40,0)</f>
        <v>134.75728070187165</v>
      </c>
      <c r="AY495" s="186">
        <f t="shared" si="338"/>
        <v>1.446875000000025</v>
      </c>
      <c r="AZ495" s="186">
        <f t="shared" si="339"/>
        <v>7.5672018956930714E-5</v>
      </c>
      <c r="BA495" s="186">
        <f>AZ495*'DADOS BASE'!W$41</f>
        <v>559.05381053678093</v>
      </c>
      <c r="BC495" s="188">
        <v>0</v>
      </c>
      <c r="BD495" s="186">
        <f>IF($BC$11&gt;0,(BC495/$BC$11)*'DADOS BASE'!W$39,0)</f>
        <v>0</v>
      </c>
      <c r="BE495" s="187"/>
    </row>
    <row r="496" spans="2:57" x14ac:dyDescent="0.3">
      <c r="B496" s="223" t="s">
        <v>580</v>
      </c>
      <c r="C496" s="223" t="s">
        <v>603</v>
      </c>
      <c r="D496" s="223" t="s">
        <v>94</v>
      </c>
      <c r="E496" s="223">
        <v>2015</v>
      </c>
      <c r="F496" s="224"/>
      <c r="G496" s="225"/>
      <c r="H496" s="226">
        <f ca="1">IF(AND(E496&gt;=2018,SUMIF('DADOS BASE'!$C$101:$D$104,D496,'DADOS BASE'!$H$101:$H$104)&gt;J496),
SUMIF('DADOS BASE'!$C$101:$D$104,D496,'DADOS BASE'!$H$101:$H$104),
J496)</f>
        <v>434508.18663645495</v>
      </c>
      <c r="I496" s="225"/>
      <c r="J496" s="226">
        <f t="shared" si="328"/>
        <v>434508.18663645495</v>
      </c>
      <c r="K496" s="226"/>
      <c r="L496" s="227">
        <v>429.74116531827002</v>
      </c>
      <c r="M496" s="226">
        <f t="shared" si="329"/>
        <v>3.3526414134487113E-4</v>
      </c>
      <c r="N496" s="226">
        <f>L496*'DADOS BASE'!$I$29</f>
        <v>423181.65235944779</v>
      </c>
      <c r="O496" s="228"/>
      <c r="P496" s="227">
        <v>0</v>
      </c>
      <c r="Q496" s="226">
        <f>P496*'DADOS BASE'!$I$33</f>
        <v>0</v>
      </c>
      <c r="R496" s="226"/>
      <c r="S496" s="227">
        <v>14.37762605042</v>
      </c>
      <c r="T496" s="226">
        <f>S496*'DADOS BASE'!$I$37</f>
        <v>11326.534277007151</v>
      </c>
      <c r="U496" s="226"/>
      <c r="V496" s="226">
        <f t="shared" si="330"/>
        <v>11326.534277007151</v>
      </c>
      <c r="W496" s="228"/>
      <c r="X496" s="226"/>
      <c r="Y496" s="226"/>
      <c r="Z496" s="224"/>
      <c r="AA496" s="226"/>
      <c r="AB496" s="226"/>
      <c r="AC496" s="226"/>
      <c r="AD496" s="226"/>
      <c r="AE496" s="227">
        <v>403</v>
      </c>
      <c r="AF496" s="227">
        <v>296.05280903612999</v>
      </c>
      <c r="AG496" s="226" t="s">
        <v>155</v>
      </c>
      <c r="AH496" s="229">
        <v>0.751</v>
      </c>
      <c r="AI496" s="225">
        <f t="shared" si="331"/>
        <v>222.33565958613363</v>
      </c>
      <c r="AJ496" s="226">
        <f t="shared" si="332"/>
        <v>3.8674380389739998E-2</v>
      </c>
      <c r="AK496" s="226"/>
      <c r="AL496" s="226">
        <f t="shared" si="333"/>
        <v>172.72750182362734</v>
      </c>
      <c r="AM496" s="228">
        <f t="shared" si="334"/>
        <v>51136.462112678135</v>
      </c>
      <c r="AN496" s="226"/>
      <c r="AO496" s="227">
        <v>1.5224438902743</v>
      </c>
      <c r="AP496" s="225"/>
      <c r="AQ496" s="226">
        <f t="shared" si="335"/>
        <v>450.72379031560018</v>
      </c>
      <c r="AR496" s="226">
        <f t="shared" si="336"/>
        <v>4.7956544401256651E-4</v>
      </c>
      <c r="AS496" s="228">
        <f>AR496*'DADOS BASE'!W$38</f>
        <v>143857.53266343902</v>
      </c>
      <c r="AT496" s="225"/>
      <c r="AU496" s="227">
        <v>14.37762605042</v>
      </c>
      <c r="AV496" s="227">
        <v>18.75</v>
      </c>
      <c r="AW496" s="226">
        <f t="shared" si="337"/>
        <v>3.594406512605</v>
      </c>
      <c r="AX496" s="226">
        <f>IF($AW$11&gt;0,(AW496/$AW$11)*'DADOS BASE'!W$40,0)</f>
        <v>645.82992983432996</v>
      </c>
      <c r="AY496" s="226">
        <f t="shared" si="338"/>
        <v>5.4722822342776363</v>
      </c>
      <c r="AZ496" s="226">
        <f t="shared" si="339"/>
        <v>2.8620208723623342E-4</v>
      </c>
      <c r="BA496" s="226">
        <f>AZ496*'DADOS BASE'!W$41</f>
        <v>2114.4191691788087</v>
      </c>
      <c r="BB496" s="225"/>
      <c r="BC496" s="227">
        <v>0</v>
      </c>
      <c r="BD496" s="226">
        <f>IF($BC$11&gt;0,(BC496/$BC$11)*'DADOS BASE'!W$39,0)</f>
        <v>0</v>
      </c>
      <c r="BE496" s="187"/>
    </row>
    <row r="497" spans="2:57" x14ac:dyDescent="0.3">
      <c r="B497" s="184" t="s">
        <v>580</v>
      </c>
      <c r="C497" s="184" t="s">
        <v>604</v>
      </c>
      <c r="D497" s="184" t="s">
        <v>94</v>
      </c>
      <c r="E497" s="184">
        <v>2015</v>
      </c>
      <c r="F497" s="185"/>
      <c r="H497" s="186">
        <f ca="1">IF(AND(E497&gt;=2018,SUMIF('DADOS BASE'!$C$101:$D$104,D497,'DADOS BASE'!$H$101:$H$104)&gt;J497),
SUMIF('DADOS BASE'!$C$101:$D$104,D497,'DADOS BASE'!$H$101:$H$104),
J497)</f>
        <v>961679.08925695671</v>
      </c>
      <c r="J497" s="186">
        <f t="shared" si="328"/>
        <v>961679.08925695671</v>
      </c>
      <c r="K497" s="186"/>
      <c r="L497" s="188">
        <v>976.58556361149999</v>
      </c>
      <c r="M497" s="186">
        <f t="shared" si="329"/>
        <v>7.6188679804859013E-4</v>
      </c>
      <c r="N497" s="186">
        <f>L497*'DADOS BASE'!$I$29</f>
        <v>961679.08925695671</v>
      </c>
      <c r="O497" s="187"/>
      <c r="P497" s="188">
        <v>0</v>
      </c>
      <c r="Q497" s="186">
        <f>P497*'DADOS BASE'!$I$33</f>
        <v>0</v>
      </c>
      <c r="R497" s="186"/>
      <c r="S497" s="188">
        <v>0</v>
      </c>
      <c r="T497" s="186">
        <f>S497*'DADOS BASE'!$I$37</f>
        <v>0</v>
      </c>
      <c r="U497" s="186"/>
      <c r="V497" s="186">
        <f t="shared" si="330"/>
        <v>0</v>
      </c>
      <c r="W497" s="187"/>
      <c r="X497" s="186"/>
      <c r="Y497" s="186"/>
      <c r="Z497" s="185"/>
      <c r="AA497" s="186"/>
      <c r="AB497" s="186"/>
      <c r="AC497" s="186"/>
      <c r="AD497" s="186"/>
      <c r="AE497" s="188">
        <v>502</v>
      </c>
      <c r="AF497" s="188">
        <v>399.58136633736001</v>
      </c>
      <c r="AG497" s="186" t="s">
        <v>155</v>
      </c>
      <c r="AH497" s="189">
        <v>0.70199999999999996</v>
      </c>
      <c r="AI497" s="183">
        <f t="shared" si="331"/>
        <v>280.50611916882673</v>
      </c>
      <c r="AJ497" s="186">
        <f t="shared" si="332"/>
        <v>-2.7416528701170267E-2</v>
      </c>
      <c r="AK497" s="186"/>
      <c r="AL497" s="186">
        <f t="shared" si="333"/>
        <v>184.60247674123491</v>
      </c>
      <c r="AM497" s="187">
        <f t="shared" si="334"/>
        <v>73763.709885523363</v>
      </c>
      <c r="AN497" s="186"/>
      <c r="AO497" s="188">
        <v>1.9485125858123999</v>
      </c>
      <c r="AQ497" s="186">
        <f t="shared" si="335"/>
        <v>778.58932136446117</v>
      </c>
      <c r="AR497" s="186">
        <f t="shared" si="336"/>
        <v>8.2841097280918761E-4</v>
      </c>
      <c r="AS497" s="187">
        <f>AR497*'DADOS BASE'!W$38</f>
        <v>248502.38912653222</v>
      </c>
      <c r="AU497" s="188">
        <v>0</v>
      </c>
      <c r="AV497" s="188">
        <v>0</v>
      </c>
      <c r="AW497" s="186">
        <f t="shared" si="337"/>
        <v>0</v>
      </c>
      <c r="AX497" s="186">
        <f>IF($AW$11&gt;0,(AW497/$AW$11)*'DADOS BASE'!W$40,0)</f>
        <v>0</v>
      </c>
      <c r="AY497" s="186">
        <f t="shared" si="338"/>
        <v>0</v>
      </c>
      <c r="AZ497" s="186">
        <f t="shared" si="339"/>
        <v>0</v>
      </c>
      <c r="BA497" s="186">
        <f>AZ497*'DADOS BASE'!W$41</f>
        <v>0</v>
      </c>
      <c r="BC497" s="188">
        <v>0</v>
      </c>
      <c r="BD497" s="186">
        <f>IF($BC$11&gt;0,(BC497/$BC$11)*'DADOS BASE'!W$39,0)</f>
        <v>0</v>
      </c>
      <c r="BE497" s="187"/>
    </row>
    <row r="498" spans="2:57" x14ac:dyDescent="0.3">
      <c r="B498" s="223" t="s">
        <v>580</v>
      </c>
      <c r="C498" s="223" t="s">
        <v>605</v>
      </c>
      <c r="D498" s="223" t="s">
        <v>94</v>
      </c>
      <c r="E498" s="223">
        <v>2010</v>
      </c>
      <c r="F498" s="224"/>
      <c r="G498" s="225"/>
      <c r="H498" s="226">
        <f ca="1">IF(AND(E498&gt;=2018,SUMIF('DADOS BASE'!$C$101:$D$104,D498,'DADOS BASE'!$H$101:$H$104)&gt;J498),
SUMIF('DADOS BASE'!$C$101:$D$104,D498,'DADOS BASE'!$H$101:$H$104),
J498)</f>
        <v>2094628.7844805727</v>
      </c>
      <c r="I498" s="225"/>
      <c r="J498" s="226">
        <f t="shared" si="328"/>
        <v>2094628.7844805727</v>
      </c>
      <c r="K498" s="226"/>
      <c r="L498" s="227">
        <v>2123.5506661484001</v>
      </c>
      <c r="M498" s="226">
        <f t="shared" si="329"/>
        <v>1.6566958163323634E-3</v>
      </c>
      <c r="N498" s="226">
        <f>L498*'DADOS BASE'!$I$29</f>
        <v>2091137.0664342565</v>
      </c>
      <c r="O498" s="228"/>
      <c r="P498" s="227">
        <v>0</v>
      </c>
      <c r="Q498" s="226">
        <f>P498*'DADOS BASE'!$I$33</f>
        <v>0</v>
      </c>
      <c r="R498" s="226"/>
      <c r="S498" s="227">
        <v>4.4323016304597997</v>
      </c>
      <c r="T498" s="226">
        <f>S498*'DADOS BASE'!$I$37</f>
        <v>3491.7180463162122</v>
      </c>
      <c r="U498" s="226"/>
      <c r="V498" s="226">
        <f t="shared" si="330"/>
        <v>3491.7180463162122</v>
      </c>
      <c r="W498" s="228"/>
      <c r="X498" s="226"/>
      <c r="Y498" s="226"/>
      <c r="Z498" s="224"/>
      <c r="AA498" s="226"/>
      <c r="AB498" s="226"/>
      <c r="AC498" s="226"/>
      <c r="AD498" s="226"/>
      <c r="AE498" s="227">
        <v>1539</v>
      </c>
      <c r="AF498" s="227">
        <v>985.02310758105</v>
      </c>
      <c r="AG498" s="226" t="s">
        <v>155</v>
      </c>
      <c r="AH498" s="229">
        <v>0.73399999999999999</v>
      </c>
      <c r="AI498" s="225">
        <f t="shared" si="331"/>
        <v>723.00696096449064</v>
      </c>
      <c r="AJ498" s="226">
        <f t="shared" si="332"/>
        <v>1.5744881317383375E-2</v>
      </c>
      <c r="AK498" s="226"/>
      <c r="AL498" s="226">
        <f t="shared" si="333"/>
        <v>176.84739108075649</v>
      </c>
      <c r="AM498" s="228">
        <f t="shared" si="334"/>
        <v>174198.76672996802</v>
      </c>
      <c r="AN498" s="226"/>
      <c r="AO498" s="227">
        <v>1.7554585152838</v>
      </c>
      <c r="AP498" s="225"/>
      <c r="AQ498" s="226">
        <f t="shared" si="335"/>
        <v>1729.1672019544649</v>
      </c>
      <c r="AR498" s="226">
        <f t="shared" si="336"/>
        <v>1.8398159910676423E-3</v>
      </c>
      <c r="AS498" s="228">
        <f>AR498*'DADOS BASE'!W$38</f>
        <v>551898.37452674215</v>
      </c>
      <c r="AT498" s="225"/>
      <c r="AU498" s="227">
        <v>2.9543881451054999</v>
      </c>
      <c r="AV498" s="227">
        <v>5.25</v>
      </c>
      <c r="AW498" s="226">
        <f t="shared" si="337"/>
        <v>0.73859703627637496</v>
      </c>
      <c r="AX498" s="226">
        <f>IF($AW$11&gt;0,(AW498/$AW$11)*'DADOS BASE'!W$40,0)</f>
        <v>132.70843752408791</v>
      </c>
      <c r="AY498" s="226">
        <f t="shared" si="338"/>
        <v>1.2965764566947402</v>
      </c>
      <c r="AZ498" s="226">
        <f t="shared" si="339"/>
        <v>6.7811357726211831E-5</v>
      </c>
      <c r="BA498" s="226">
        <f>AZ498*'DADOS BASE'!W$41</f>
        <v>500.98039482848179</v>
      </c>
      <c r="BB498" s="225"/>
      <c r="BC498" s="227">
        <v>0</v>
      </c>
      <c r="BD498" s="226">
        <f>IF($BC$11&gt;0,(BC498/$BC$11)*'DADOS BASE'!W$39,0)</f>
        <v>0</v>
      </c>
      <c r="BE498" s="187"/>
    </row>
    <row r="499" spans="2:57" x14ac:dyDescent="0.3">
      <c r="B499" s="184" t="s">
        <v>580</v>
      </c>
      <c r="C499" s="184" t="s">
        <v>606</v>
      </c>
      <c r="D499" s="184" t="s">
        <v>94</v>
      </c>
      <c r="E499" s="184">
        <v>2010</v>
      </c>
      <c r="F499" s="185"/>
      <c r="H499" s="186">
        <f ca="1">IF(AND(E499&gt;=2018,SUMIF('DADOS BASE'!$C$101:$D$104,D499,'DADOS BASE'!$H$101:$H$104)&gt;J499),
SUMIF('DADOS BASE'!$C$101:$D$104,D499,'DADOS BASE'!$H$101:$H$104),
J499)</f>
        <v>2049203.7533846777</v>
      </c>
      <c r="J499" s="186">
        <f t="shared" si="328"/>
        <v>2049203.7533846777</v>
      </c>
      <c r="K499" s="186"/>
      <c r="L499" s="188">
        <v>2080.9673671913001</v>
      </c>
      <c r="M499" s="186">
        <f t="shared" si="329"/>
        <v>1.6234742999577088E-3</v>
      </c>
      <c r="N499" s="186">
        <f>L499*'DADOS BASE'!$I$29</f>
        <v>2049203.7533846777</v>
      </c>
      <c r="O499" s="187"/>
      <c r="P499" s="188">
        <v>0</v>
      </c>
      <c r="Q499" s="186">
        <f>P499*'DADOS BASE'!$I$33</f>
        <v>0</v>
      </c>
      <c r="R499" s="186"/>
      <c r="S499" s="188">
        <v>0</v>
      </c>
      <c r="T499" s="186">
        <f>S499*'DADOS BASE'!$I$37</f>
        <v>0</v>
      </c>
      <c r="U499" s="186"/>
      <c r="V499" s="186">
        <f t="shared" si="330"/>
        <v>0</v>
      </c>
      <c r="W499" s="187"/>
      <c r="X499" s="186"/>
      <c r="Y499" s="186"/>
      <c r="Z499" s="185"/>
      <c r="AA499" s="186"/>
      <c r="AB499" s="186"/>
      <c r="AC499" s="186"/>
      <c r="AD499" s="186"/>
      <c r="AE499" s="188">
        <v>1240</v>
      </c>
      <c r="AF499" s="188">
        <v>918.08294983075996</v>
      </c>
      <c r="AG499" s="186" t="s">
        <v>155</v>
      </c>
      <c r="AH499" s="189">
        <v>0.76100000000000001</v>
      </c>
      <c r="AI499" s="183">
        <f t="shared" si="331"/>
        <v>698.66112482120832</v>
      </c>
      <c r="AJ499" s="186">
        <f t="shared" si="332"/>
        <v>5.2162321020538006E-2</v>
      </c>
      <c r="AK499" s="186"/>
      <c r="AL499" s="186">
        <f t="shared" si="333"/>
        <v>170.30403755472784</v>
      </c>
      <c r="AM499" s="187">
        <f t="shared" si="334"/>
        <v>156353.23316633306</v>
      </c>
      <c r="AN499" s="186"/>
      <c r="AO499" s="188">
        <v>1.6911392405062999</v>
      </c>
      <c r="AQ499" s="186">
        <f t="shared" si="335"/>
        <v>1552.606102498575</v>
      </c>
      <c r="AR499" s="186">
        <f t="shared" si="336"/>
        <v>1.651956810178561E-3</v>
      </c>
      <c r="AS499" s="187">
        <f>AR499*'DADOS BASE'!W$38</f>
        <v>495545.36037968908</v>
      </c>
      <c r="AU499" s="188">
        <v>0</v>
      </c>
      <c r="AV499" s="188">
        <v>0</v>
      </c>
      <c r="AW499" s="186">
        <f t="shared" si="337"/>
        <v>0</v>
      </c>
      <c r="AX499" s="186">
        <f>IF($AW$11&gt;0,(AW499/$AW$11)*'DADOS BASE'!W$40,0)</f>
        <v>0</v>
      </c>
      <c r="AY499" s="186">
        <f t="shared" si="338"/>
        <v>0</v>
      </c>
      <c r="AZ499" s="186">
        <f t="shared" si="339"/>
        <v>0</v>
      </c>
      <c r="BA499" s="186">
        <f>AZ499*'DADOS BASE'!W$41</f>
        <v>0</v>
      </c>
      <c r="BC499" s="188">
        <v>0</v>
      </c>
      <c r="BD499" s="186">
        <f>IF($BC$11&gt;0,(BC499/$BC$11)*'DADOS BASE'!W$39,0)</f>
        <v>0</v>
      </c>
      <c r="BE499" s="187"/>
    </row>
    <row r="500" spans="2:57" x14ac:dyDescent="0.3">
      <c r="B500" s="223" t="s">
        <v>580</v>
      </c>
      <c r="C500" s="223" t="s">
        <v>607</v>
      </c>
      <c r="D500" s="223" t="s">
        <v>94</v>
      </c>
      <c r="E500" s="223">
        <v>2015</v>
      </c>
      <c r="F500" s="224"/>
      <c r="G500" s="225"/>
      <c r="H500" s="226">
        <f ca="1">IF(AND(E500&gt;=2018,SUMIF('DADOS BASE'!$C$101:$D$104,D500,'DADOS BASE'!$H$101:$H$104)&gt;J500),
SUMIF('DADOS BASE'!$C$101:$D$104,D500,'DADOS BASE'!$H$101:$H$104),
J500)</f>
        <v>688102.03320626169</v>
      </c>
      <c r="I500" s="225"/>
      <c r="J500" s="226">
        <f t="shared" si="328"/>
        <v>688102.03320626169</v>
      </c>
      <c r="K500" s="226"/>
      <c r="L500" s="227">
        <v>698.76793561163004</v>
      </c>
      <c r="M500" s="226">
        <f t="shared" si="329"/>
        <v>5.4514635980627455E-4</v>
      </c>
      <c r="N500" s="226">
        <f>L500*'DADOS BASE'!$I$29</f>
        <v>688102.03320626169</v>
      </c>
      <c r="O500" s="228"/>
      <c r="P500" s="227">
        <v>0</v>
      </c>
      <c r="Q500" s="226">
        <f>P500*'DADOS BASE'!$I$33</f>
        <v>0</v>
      </c>
      <c r="R500" s="226"/>
      <c r="S500" s="227">
        <v>0</v>
      </c>
      <c r="T500" s="226">
        <f>S500*'DADOS BASE'!$I$37</f>
        <v>0</v>
      </c>
      <c r="U500" s="226"/>
      <c r="V500" s="226">
        <f t="shared" si="330"/>
        <v>0</v>
      </c>
      <c r="W500" s="228"/>
      <c r="X500" s="226"/>
      <c r="Y500" s="226"/>
      <c r="Z500" s="224"/>
      <c r="AA500" s="226"/>
      <c r="AB500" s="226"/>
      <c r="AC500" s="226"/>
      <c r="AD500" s="226"/>
      <c r="AE500" s="227">
        <v>444</v>
      </c>
      <c r="AF500" s="227">
        <v>411.71219181621001</v>
      </c>
      <c r="AG500" s="226" t="s">
        <v>155</v>
      </c>
      <c r="AH500" s="229">
        <v>0.74</v>
      </c>
      <c r="AI500" s="225">
        <f t="shared" si="331"/>
        <v>304.66702194399539</v>
      </c>
      <c r="AJ500" s="226">
        <f t="shared" si="332"/>
        <v>2.3837645695862181E-2</v>
      </c>
      <c r="AK500" s="226"/>
      <c r="AL500" s="226">
        <f t="shared" si="333"/>
        <v>175.39331251941678</v>
      </c>
      <c r="AM500" s="228">
        <f t="shared" si="334"/>
        <v>72211.565127274589</v>
      </c>
      <c r="AN500" s="226"/>
      <c r="AO500" s="227">
        <v>1.6997635933805999</v>
      </c>
      <c r="AP500" s="225"/>
      <c r="AQ500" s="226">
        <f t="shared" si="335"/>
        <v>699.81339460012396</v>
      </c>
      <c r="AR500" s="226">
        <f t="shared" si="336"/>
        <v>7.4459420274300533E-4</v>
      </c>
      <c r="AS500" s="228">
        <f>AR500*'DADOS BASE'!W$38</f>
        <v>223359.47299677075</v>
      </c>
      <c r="AT500" s="225"/>
      <c r="AU500" s="227">
        <v>0</v>
      </c>
      <c r="AV500" s="227">
        <v>0</v>
      </c>
      <c r="AW500" s="226">
        <f t="shared" si="337"/>
        <v>0</v>
      </c>
      <c r="AX500" s="226">
        <f>IF($AW$11&gt;0,(AW500/$AW$11)*'DADOS BASE'!W$40,0)</f>
        <v>0</v>
      </c>
      <c r="AY500" s="226">
        <f t="shared" si="338"/>
        <v>0</v>
      </c>
      <c r="AZ500" s="226">
        <f t="shared" si="339"/>
        <v>0</v>
      </c>
      <c r="BA500" s="226">
        <f>AZ500*'DADOS BASE'!W$41</f>
        <v>0</v>
      </c>
      <c r="BB500" s="225"/>
      <c r="BC500" s="227">
        <v>0</v>
      </c>
      <c r="BD500" s="226">
        <f>IF($BC$11&gt;0,(BC500/$BC$11)*'DADOS BASE'!W$39,0)</f>
        <v>0</v>
      </c>
      <c r="BE500" s="187"/>
    </row>
    <row r="501" spans="2:57" x14ac:dyDescent="0.3">
      <c r="F501" s="185"/>
      <c r="H501" s="186"/>
      <c r="J501" s="186"/>
      <c r="K501" s="186"/>
      <c r="L501" s="186"/>
      <c r="M501" s="186"/>
      <c r="N501" s="186"/>
      <c r="O501" s="187"/>
      <c r="P501" s="186"/>
      <c r="Q501" s="186"/>
      <c r="R501" s="186"/>
      <c r="S501" s="186"/>
      <c r="T501" s="186"/>
      <c r="U501" s="186"/>
      <c r="V501" s="186"/>
      <c r="W501" s="187"/>
      <c r="X501" s="186"/>
      <c r="Y501" s="186"/>
      <c r="Z501" s="185"/>
      <c r="AA501" s="186"/>
      <c r="AB501" s="186"/>
      <c r="AC501" s="186"/>
      <c r="AD501" s="186"/>
      <c r="AE501" s="186"/>
      <c r="AF501" s="186"/>
      <c r="AG501" s="186"/>
      <c r="AH501" s="185"/>
      <c r="AJ501" s="186"/>
      <c r="AK501" s="186"/>
      <c r="AL501" s="186"/>
      <c r="AM501" s="187"/>
      <c r="AN501" s="186"/>
      <c r="AO501" s="186"/>
      <c r="AQ501" s="186"/>
      <c r="AR501" s="186"/>
      <c r="AS501" s="187"/>
      <c r="AU501" s="186"/>
      <c r="AV501" s="186"/>
      <c r="AW501" s="186"/>
      <c r="AX501" s="186"/>
      <c r="AY501" s="186"/>
      <c r="AZ501" s="186"/>
      <c r="BA501" s="186"/>
      <c r="BC501" s="186"/>
      <c r="BD501" s="186"/>
      <c r="BE501" s="187"/>
    </row>
    <row r="502" spans="2:57" x14ac:dyDescent="0.3">
      <c r="B502" s="209" t="s">
        <v>608</v>
      </c>
      <c r="C502" s="209" t="s">
        <v>609</v>
      </c>
      <c r="D502" s="211" t="s">
        <v>154</v>
      </c>
      <c r="E502" s="211"/>
      <c r="F502" s="210"/>
      <c r="G502" s="211"/>
      <c r="H502" s="212">
        <f ca="1">SUM(H503:H511)</f>
        <v>23972155.441454772</v>
      </c>
      <c r="I502" s="211"/>
      <c r="J502" s="212">
        <f>SUM(J503:J511)</f>
        <v>23972155.441454772</v>
      </c>
      <c r="K502" s="212"/>
      <c r="L502" s="212">
        <f>SUM(L503:L511)</f>
        <v>21862.736222040941</v>
      </c>
      <c r="M502" s="212">
        <f>SUM(M503:M511)</f>
        <v>1.7056293598272022E-2</v>
      </c>
      <c r="N502" s="212">
        <f>SUM(N503:N511)</f>
        <v>21529026.274897337</v>
      </c>
      <c r="O502" s="214"/>
      <c r="P502" s="212">
        <f>SUM(P503:P511)</f>
        <v>0</v>
      </c>
      <c r="Q502" s="212">
        <f>SUM(Q503:Q511)</f>
        <v>0</v>
      </c>
      <c r="R502" s="212"/>
      <c r="S502" s="212">
        <f>SUM(S503:S511)</f>
        <v>3101.2485099650999</v>
      </c>
      <c r="T502" s="212">
        <f>SUM(T503:T511)</f>
        <v>2443129.1665574331</v>
      </c>
      <c r="U502" s="212"/>
      <c r="V502" s="212">
        <f>SUM(V503:V511)</f>
        <v>2443129.1665574331</v>
      </c>
      <c r="W502" s="214"/>
      <c r="X502" s="212">
        <f>SUMIF(INDICADORES!$D$13:$D$53,C502,INDICADORES!$L$13:$L$53)</f>
        <v>6.3832526995456296E-3</v>
      </c>
      <c r="Y502" s="212">
        <f>X502*'DADOS BASE'!$I$79</f>
        <v>265053.18402808998</v>
      </c>
      <c r="Z502" s="210">
        <f>SUMIF(INDICADORES!$D$13:$D$53,C502,INDICADORES!$R$13:$R$53)</f>
        <v>2.5044415152730811E-2</v>
      </c>
      <c r="AA502" s="212">
        <f>Z502*'DADOS BASE'!$I$84</f>
        <v>1039924.6733291877</v>
      </c>
      <c r="AB502" s="212">
        <f>SUMIF(INDICADORES!$D$13:$D$53,C502,INDICADORES!$Z$13:$Z$53)</f>
        <v>1.9012976291256437E-2</v>
      </c>
      <c r="AC502" s="212">
        <f>AB502*'DADOS BASE'!$I$89</f>
        <v>1578959.8629572727</v>
      </c>
      <c r="AD502" s="212"/>
      <c r="AE502" s="212">
        <f>SUM(AE503:AE511)</f>
        <v>15430</v>
      </c>
      <c r="AF502" s="212">
        <f>SUM(AF503:AF511)</f>
        <v>9939.7235833278683</v>
      </c>
      <c r="AG502" s="212" t="s">
        <v>155</v>
      </c>
      <c r="AH502" s="210"/>
      <c r="AI502" s="211"/>
      <c r="AJ502" s="212"/>
      <c r="AK502" s="212"/>
      <c r="AL502" s="212"/>
      <c r="AM502" s="214">
        <f>SUM(AM503:AM511)</f>
        <v>1673811.2609205502</v>
      </c>
      <c r="AN502" s="212"/>
      <c r="AO502" s="212"/>
      <c r="AP502" s="211"/>
      <c r="AQ502" s="212">
        <f>SUM(AQ503:AQ511)</f>
        <v>7817.942712299091</v>
      </c>
      <c r="AR502" s="212"/>
      <c r="AS502" s="214">
        <f>SUM(AS503:AS511)</f>
        <v>2495253.1312091583</v>
      </c>
      <c r="AT502" s="211"/>
      <c r="AU502" s="212">
        <f t="shared" ref="AU502:BA502" si="340">SUM(AU503:AU511)</f>
        <v>1529.3082747983999</v>
      </c>
      <c r="AV502" s="212">
        <f t="shared" si="340"/>
        <v>719.25</v>
      </c>
      <c r="AW502" s="212">
        <f t="shared" si="340"/>
        <v>382.32706869959998</v>
      </c>
      <c r="AX502" s="212">
        <f t="shared" si="340"/>
        <v>68695.141488901005</v>
      </c>
      <c r="AY502" s="212">
        <f t="shared" si="340"/>
        <v>0</v>
      </c>
      <c r="AZ502" s="212">
        <f t="shared" si="340"/>
        <v>0</v>
      </c>
      <c r="BA502" s="212">
        <f t="shared" si="340"/>
        <v>0</v>
      </c>
      <c r="BB502" s="211"/>
      <c r="BC502" s="212">
        <f>SUM(BC503:BC511)</f>
        <v>0</v>
      </c>
      <c r="BD502" s="212">
        <f>SUM(BD503:BD511)</f>
        <v>0</v>
      </c>
      <c r="BE502" s="187"/>
    </row>
    <row r="503" spans="2:57" x14ac:dyDescent="0.3">
      <c r="B503" s="216" t="s">
        <v>608</v>
      </c>
      <c r="C503" s="218" t="s">
        <v>156</v>
      </c>
      <c r="D503" s="218" t="s">
        <v>157</v>
      </c>
      <c r="E503" s="218"/>
      <c r="F503" s="217"/>
      <c r="G503" s="218"/>
      <c r="H503" s="219"/>
      <c r="I503" s="218"/>
      <c r="J503" s="219"/>
      <c r="K503" s="219"/>
      <c r="L503" s="219">
        <v>0</v>
      </c>
      <c r="M503" s="219">
        <v>0</v>
      </c>
      <c r="N503" s="219">
        <v>0</v>
      </c>
      <c r="O503" s="221"/>
      <c r="P503" s="219"/>
      <c r="Q503" s="219"/>
      <c r="R503" s="219"/>
      <c r="S503" s="219"/>
      <c r="T503" s="219"/>
      <c r="U503" s="219"/>
      <c r="V503" s="219"/>
      <c r="W503" s="221"/>
      <c r="X503" s="219"/>
      <c r="Y503" s="219"/>
      <c r="Z503" s="217"/>
      <c r="AA503" s="219"/>
      <c r="AB503" s="219"/>
      <c r="AC503" s="219"/>
      <c r="AD503" s="219"/>
      <c r="AE503" s="219"/>
      <c r="AF503" s="219"/>
      <c r="AG503" s="219" t="s">
        <v>155</v>
      </c>
      <c r="AH503" s="217"/>
      <c r="AI503" s="218"/>
      <c r="AJ503" s="219"/>
      <c r="AK503" s="219"/>
      <c r="AL503" s="219"/>
      <c r="AM503" s="221"/>
      <c r="AN503" s="219"/>
      <c r="AO503" s="219"/>
      <c r="AP503" s="218"/>
      <c r="AQ503" s="219"/>
      <c r="AR503" s="219"/>
      <c r="AS503" s="221"/>
      <c r="AT503" s="218"/>
      <c r="AU503" s="219"/>
      <c r="AV503" s="219"/>
      <c r="AW503" s="219"/>
      <c r="AX503" s="219"/>
      <c r="AY503" s="219"/>
      <c r="AZ503" s="219"/>
      <c r="BA503" s="219"/>
      <c r="BB503" s="218"/>
      <c r="BC503" s="219"/>
      <c r="BD503" s="219"/>
      <c r="BE503" s="187"/>
    </row>
    <row r="504" spans="2:57" x14ac:dyDescent="0.3">
      <c r="B504" s="223" t="s">
        <v>608</v>
      </c>
      <c r="C504" s="223" t="s">
        <v>610</v>
      </c>
      <c r="D504" s="223" t="s">
        <v>94</v>
      </c>
      <c r="E504" s="223">
        <v>2010</v>
      </c>
      <c r="F504" s="224"/>
      <c r="G504" s="225"/>
      <c r="H504" s="226">
        <f ca="1">IF(AND(E504&gt;=2018,SUMIF('DADOS BASE'!$C$101:$D$104,D504,'DADOS BASE'!$H$101:$H$104)&gt;J504),
SUMIF('DADOS BASE'!$C$101:$D$104,D504,'DADOS BASE'!$H$101:$H$104),
J504)</f>
        <v>1467100.3755413275</v>
      </c>
      <c r="I504" s="225"/>
      <c r="J504" s="226">
        <f t="shared" ref="J504:J511" si="341">N504+Q504+T504</f>
        <v>1467100.3755413275</v>
      </c>
      <c r="K504" s="226"/>
      <c r="L504" s="227">
        <v>1489.8411155322999</v>
      </c>
      <c r="M504" s="226">
        <f t="shared" ref="M504:M511" si="342">L504/$L$11</f>
        <v>1.1623049934471478E-3</v>
      </c>
      <c r="N504" s="226">
        <f>L504*'DADOS BASE'!$I$29</f>
        <v>1467100.3755413275</v>
      </c>
      <c r="O504" s="228"/>
      <c r="P504" s="227">
        <v>0</v>
      </c>
      <c r="Q504" s="226">
        <f>P504*'DADOS BASE'!$I$33</f>
        <v>0</v>
      </c>
      <c r="R504" s="226"/>
      <c r="S504" s="227">
        <v>0</v>
      </c>
      <c r="T504" s="226">
        <f>S504*'DADOS BASE'!$I$37</f>
        <v>0</v>
      </c>
      <c r="U504" s="226"/>
      <c r="V504" s="226">
        <f t="shared" ref="V504:V511" si="343">T504+Q504</f>
        <v>0</v>
      </c>
      <c r="W504" s="228"/>
      <c r="X504" s="226"/>
      <c r="Y504" s="226"/>
      <c r="Z504" s="224"/>
      <c r="AA504" s="226"/>
      <c r="AB504" s="226"/>
      <c r="AC504" s="226"/>
      <c r="AD504" s="226"/>
      <c r="AE504" s="227">
        <v>1006</v>
      </c>
      <c r="AF504" s="227">
        <v>595.93644621292003</v>
      </c>
      <c r="AG504" s="226" t="s">
        <v>155</v>
      </c>
      <c r="AH504" s="229">
        <v>0.72399999999999998</v>
      </c>
      <c r="AI504" s="225">
        <f t="shared" ref="AI504:AI511" si="344">AF504*AH504</f>
        <v>431.45798705815412</v>
      </c>
      <c r="AJ504" s="226">
        <f t="shared" ref="AJ504:AJ511" si="345">(AH504-$AI$12)*$AJ$12</f>
        <v>2.2569406865853617E-3</v>
      </c>
      <c r="AK504" s="226"/>
      <c r="AL504" s="226">
        <f t="shared" ref="AL504:AL511" si="346">$AL$11-(AJ504*$AL$11)</f>
        <v>179.27085534965599</v>
      </c>
      <c r="AM504" s="228">
        <f t="shared" ref="AM504:AM511" si="347">AF504*AL504</f>
        <v>106834.03644662444</v>
      </c>
      <c r="AN504" s="226"/>
      <c r="AO504" s="227">
        <v>1.3783783783784</v>
      </c>
      <c r="AP504" s="225"/>
      <c r="AQ504" s="226">
        <f t="shared" ref="AQ504:AQ511" si="348">AF504*AO504</f>
        <v>821.42591234755139</v>
      </c>
      <c r="AR504" s="226">
        <f t="shared" ref="AR504:AR511" si="349">AQ504/$AQ$11</f>
        <v>8.7398866188658473E-4</v>
      </c>
      <c r="AS504" s="228">
        <f>AR504*'DADOS BASE'!W$38</f>
        <v>262174.54581971531</v>
      </c>
      <c r="AT504" s="225"/>
      <c r="AU504" s="227">
        <v>0</v>
      </c>
      <c r="AV504" s="227">
        <v>0</v>
      </c>
      <c r="AW504" s="226">
        <f t="shared" ref="AW504:AW511" si="350">AU504/4</f>
        <v>0</v>
      </c>
      <c r="AX504" s="226">
        <f>IF($AW$11&gt;0,(AW504/$AW$11)*'DADOS BASE'!W$40,0)</f>
        <v>0</v>
      </c>
      <c r="AY504" s="226">
        <f t="shared" ref="AY504:AY511" si="351">AO504*AW504</f>
        <v>0</v>
      </c>
      <c r="AZ504" s="226">
        <f t="shared" ref="AZ504:AZ511" si="352">IF($AY$11&gt;0,AY504/$AY$11,0)</f>
        <v>0</v>
      </c>
      <c r="BA504" s="226">
        <f>AZ504*'DADOS BASE'!W$41</f>
        <v>0</v>
      </c>
      <c r="BB504" s="225"/>
      <c r="BC504" s="227">
        <v>0</v>
      </c>
      <c r="BD504" s="226">
        <f>IF($BC$11&gt;0,(BC504/$BC$11)*'DADOS BASE'!W$39,0)</f>
        <v>0</v>
      </c>
      <c r="BE504" s="187"/>
    </row>
    <row r="505" spans="2:57" x14ac:dyDescent="0.3">
      <c r="B505" s="184" t="s">
        <v>608</v>
      </c>
      <c r="C505" s="184" t="s">
        <v>611</v>
      </c>
      <c r="D505" s="184" t="s">
        <v>94</v>
      </c>
      <c r="E505" s="184">
        <v>2010</v>
      </c>
      <c r="F505" s="185"/>
      <c r="H505" s="186">
        <f ca="1">IF(AND(E505&gt;=2018,SUMIF('DADOS BASE'!$C$101:$D$104,D505,'DADOS BASE'!$H$101:$H$104)&gt;J505),
SUMIF('DADOS BASE'!$C$101:$D$104,D505,'DADOS BASE'!$H$101:$H$104),
J505)</f>
        <v>1734055.4232886732</v>
      </c>
      <c r="J505" s="186">
        <f t="shared" si="341"/>
        <v>1734055.4232886732</v>
      </c>
      <c r="K505" s="186"/>
      <c r="L505" s="188">
        <v>1760.934091012</v>
      </c>
      <c r="M505" s="186">
        <f t="shared" si="342"/>
        <v>1.3737991694391443E-3</v>
      </c>
      <c r="N505" s="186">
        <f>L505*'DADOS BASE'!$I$29</f>
        <v>1734055.4232886732</v>
      </c>
      <c r="O505" s="187"/>
      <c r="P505" s="188">
        <v>0</v>
      </c>
      <c r="Q505" s="186">
        <f>P505*'DADOS BASE'!$I$33</f>
        <v>0</v>
      </c>
      <c r="R505" s="186"/>
      <c r="S505" s="188">
        <v>0</v>
      </c>
      <c r="T505" s="186">
        <f>S505*'DADOS BASE'!$I$37</f>
        <v>0</v>
      </c>
      <c r="U505" s="186"/>
      <c r="V505" s="186">
        <f t="shared" si="343"/>
        <v>0</v>
      </c>
      <c r="W505" s="187"/>
      <c r="X505" s="186"/>
      <c r="Y505" s="186"/>
      <c r="Z505" s="185"/>
      <c r="AA505" s="186"/>
      <c r="AB505" s="186"/>
      <c r="AC505" s="186"/>
      <c r="AD505" s="186"/>
      <c r="AE505" s="188">
        <v>987</v>
      </c>
      <c r="AF505" s="188">
        <v>711.30586466577995</v>
      </c>
      <c r="AG505" s="186" t="s">
        <v>155</v>
      </c>
      <c r="AH505" s="189">
        <v>0.71499999999999997</v>
      </c>
      <c r="AI505" s="183">
        <f t="shared" si="344"/>
        <v>508.58369323603262</v>
      </c>
      <c r="AJ505" s="186">
        <f t="shared" si="345"/>
        <v>-9.8822058811328505E-3</v>
      </c>
      <c r="AK505" s="186"/>
      <c r="AL505" s="186">
        <f t="shared" si="346"/>
        <v>181.45197319166556</v>
      </c>
      <c r="AM505" s="187">
        <f t="shared" si="347"/>
        <v>129067.85268640959</v>
      </c>
      <c r="AN505" s="186"/>
      <c r="AO505" s="188">
        <v>1.4447368421053</v>
      </c>
      <c r="AQ505" s="186">
        <f t="shared" si="348"/>
        <v>1027.6497886882187</v>
      </c>
      <c r="AR505" s="186">
        <f t="shared" si="349"/>
        <v>1.0934087301151902E-3</v>
      </c>
      <c r="AS505" s="187">
        <f>AR505*'DADOS BASE'!W$38</f>
        <v>327995.02981477045</v>
      </c>
      <c r="AU505" s="188">
        <v>0</v>
      </c>
      <c r="AV505" s="188">
        <v>0</v>
      </c>
      <c r="AW505" s="186">
        <f t="shared" si="350"/>
        <v>0</v>
      </c>
      <c r="AX505" s="186">
        <f>IF($AW$11&gt;0,(AW505/$AW$11)*'DADOS BASE'!W$40,0)</f>
        <v>0</v>
      </c>
      <c r="AY505" s="186">
        <f t="shared" si="351"/>
        <v>0</v>
      </c>
      <c r="AZ505" s="186">
        <f t="shared" si="352"/>
        <v>0</v>
      </c>
      <c r="BA505" s="186">
        <f>AZ505*'DADOS BASE'!W$41</f>
        <v>0</v>
      </c>
      <c r="BC505" s="188">
        <v>0</v>
      </c>
      <c r="BD505" s="186">
        <f>IF($BC$11&gt;0,(BC505/$BC$11)*'DADOS BASE'!W$39,0)</f>
        <v>0</v>
      </c>
      <c r="BE505" s="187"/>
    </row>
    <row r="506" spans="2:57" x14ac:dyDescent="0.3">
      <c r="B506" s="223" t="s">
        <v>608</v>
      </c>
      <c r="C506" s="223" t="s">
        <v>612</v>
      </c>
      <c r="D506" s="223" t="s">
        <v>94</v>
      </c>
      <c r="E506" s="223">
        <v>2006</v>
      </c>
      <c r="F506" s="224"/>
      <c r="G506" s="225"/>
      <c r="H506" s="226">
        <f ca="1">IF(AND(E506&gt;=2018,SUMIF('DADOS BASE'!$C$101:$D$104,D506,'DADOS BASE'!$H$101:$H$104)&gt;J506),
SUMIF('DADOS BASE'!$C$101:$D$104,D506,'DADOS BASE'!$H$101:$H$104),
J506)</f>
        <v>1301076.3512019143</v>
      </c>
      <c r="I506" s="225"/>
      <c r="J506" s="226">
        <f t="shared" si="341"/>
        <v>1301076.3512019143</v>
      </c>
      <c r="K506" s="226"/>
      <c r="L506" s="227">
        <v>1321.2436413917001</v>
      </c>
      <c r="M506" s="226">
        <f t="shared" si="342"/>
        <v>1.0307730575694208E-3</v>
      </c>
      <c r="N506" s="226">
        <f>L506*'DADOS BASE'!$I$29</f>
        <v>1301076.3512019143</v>
      </c>
      <c r="O506" s="228"/>
      <c r="P506" s="227">
        <v>0</v>
      </c>
      <c r="Q506" s="226">
        <f>P506*'DADOS BASE'!$I$33</f>
        <v>0</v>
      </c>
      <c r="R506" s="226"/>
      <c r="S506" s="227">
        <v>0</v>
      </c>
      <c r="T506" s="226">
        <f>S506*'DADOS BASE'!$I$37</f>
        <v>0</v>
      </c>
      <c r="U506" s="226"/>
      <c r="V506" s="226">
        <f t="shared" si="343"/>
        <v>0</v>
      </c>
      <c r="W506" s="228"/>
      <c r="X506" s="226"/>
      <c r="Y506" s="226"/>
      <c r="Z506" s="224"/>
      <c r="AA506" s="226"/>
      <c r="AB506" s="226"/>
      <c r="AC506" s="226"/>
      <c r="AD506" s="226"/>
      <c r="AE506" s="227">
        <v>806</v>
      </c>
      <c r="AF506" s="227">
        <v>573.88910870581003</v>
      </c>
      <c r="AG506" s="226" t="s">
        <v>155</v>
      </c>
      <c r="AH506" s="229">
        <v>0.79900000000000004</v>
      </c>
      <c r="AI506" s="225">
        <f t="shared" si="344"/>
        <v>458.53739785594223</v>
      </c>
      <c r="AJ506" s="226">
        <f t="shared" si="345"/>
        <v>0.10341649541757046</v>
      </c>
      <c r="AK506" s="226"/>
      <c r="AL506" s="226">
        <f t="shared" si="346"/>
        <v>161.09487333290971</v>
      </c>
      <c r="AM506" s="228">
        <f t="shared" si="347"/>
        <v>92450.593274098923</v>
      </c>
      <c r="AN506" s="226"/>
      <c r="AO506" s="227">
        <v>2.1482558139535</v>
      </c>
      <c r="AP506" s="225"/>
      <c r="AQ506" s="226">
        <f t="shared" si="348"/>
        <v>1232.8606143418485</v>
      </c>
      <c r="AR506" s="226">
        <f t="shared" si="349"/>
        <v>1.3117509229066103E-3</v>
      </c>
      <c r="AS506" s="228">
        <f>AR506*'DADOS BASE'!W$38</f>
        <v>393492.17837594892</v>
      </c>
      <c r="AT506" s="225"/>
      <c r="AU506" s="227">
        <v>0</v>
      </c>
      <c r="AV506" s="227">
        <v>0</v>
      </c>
      <c r="AW506" s="226">
        <f t="shared" si="350"/>
        <v>0</v>
      </c>
      <c r="AX506" s="226">
        <f>IF($AW$11&gt;0,(AW506/$AW$11)*'DADOS BASE'!W$40,0)</f>
        <v>0</v>
      </c>
      <c r="AY506" s="226">
        <f t="shared" si="351"/>
        <v>0</v>
      </c>
      <c r="AZ506" s="226">
        <f t="shared" si="352"/>
        <v>0</v>
      </c>
      <c r="BA506" s="226">
        <f>AZ506*'DADOS BASE'!W$41</f>
        <v>0</v>
      </c>
      <c r="BB506" s="225"/>
      <c r="BC506" s="227">
        <v>0</v>
      </c>
      <c r="BD506" s="226">
        <f>IF($BC$11&gt;0,(BC506/$BC$11)*'DADOS BASE'!W$39,0)</f>
        <v>0</v>
      </c>
      <c r="BE506" s="187"/>
    </row>
    <row r="507" spans="2:57" x14ac:dyDescent="0.3">
      <c r="B507" s="184" t="s">
        <v>608</v>
      </c>
      <c r="C507" s="184" t="s">
        <v>613</v>
      </c>
      <c r="D507" s="184" t="s">
        <v>94</v>
      </c>
      <c r="E507" s="184">
        <v>2008</v>
      </c>
      <c r="F507" s="185"/>
      <c r="H507" s="186">
        <f ca="1">IF(AND(E507&gt;=2018,SUMIF('DADOS BASE'!$C$101:$D$104,D507,'DADOS BASE'!$H$101:$H$104)&gt;J507),
SUMIF('DADOS BASE'!$C$101:$D$104,D507,'DADOS BASE'!$H$101:$H$104),
J507)</f>
        <v>1387181.1411128407</v>
      </c>
      <c r="J507" s="186">
        <f t="shared" si="341"/>
        <v>1387181.1411128407</v>
      </c>
      <c r="K507" s="186"/>
      <c r="L507" s="188">
        <v>1408.6830957005</v>
      </c>
      <c r="M507" s="186">
        <f t="shared" si="342"/>
        <v>1.0989892675450064E-3</v>
      </c>
      <c r="N507" s="186">
        <f>L507*'DADOS BASE'!$I$29</f>
        <v>1387181.1411128407</v>
      </c>
      <c r="O507" s="187"/>
      <c r="P507" s="188">
        <v>0</v>
      </c>
      <c r="Q507" s="186">
        <f>P507*'DADOS BASE'!$I$33</f>
        <v>0</v>
      </c>
      <c r="R507" s="186"/>
      <c r="S507" s="188">
        <v>0</v>
      </c>
      <c r="T507" s="186">
        <f>S507*'DADOS BASE'!$I$37</f>
        <v>0</v>
      </c>
      <c r="U507" s="186"/>
      <c r="V507" s="186">
        <f t="shared" si="343"/>
        <v>0</v>
      </c>
      <c r="W507" s="187"/>
      <c r="X507" s="186"/>
      <c r="Y507" s="186"/>
      <c r="Z507" s="185"/>
      <c r="AA507" s="186"/>
      <c r="AB507" s="186"/>
      <c r="AC507" s="186"/>
      <c r="AD507" s="186"/>
      <c r="AE507" s="188">
        <v>1169</v>
      </c>
      <c r="AF507" s="188">
        <v>759.15073012049004</v>
      </c>
      <c r="AG507" s="186" t="s">
        <v>155</v>
      </c>
      <c r="AH507" s="189">
        <v>0.745</v>
      </c>
      <c r="AI507" s="183">
        <f t="shared" si="344"/>
        <v>565.56729393976502</v>
      </c>
      <c r="AJ507" s="186">
        <f t="shared" si="345"/>
        <v>3.0581616011261189E-2</v>
      </c>
      <c r="AK507" s="186"/>
      <c r="AL507" s="186">
        <f t="shared" si="346"/>
        <v>174.18158038496705</v>
      </c>
      <c r="AM507" s="187">
        <f t="shared" si="347"/>
        <v>132230.07392278855</v>
      </c>
      <c r="AN507" s="186"/>
      <c r="AO507" s="188">
        <v>1.4850299401197999</v>
      </c>
      <c r="AQ507" s="186">
        <f t="shared" si="348"/>
        <v>1127.3615632927338</v>
      </c>
      <c r="AR507" s="186">
        <f t="shared" si="349"/>
        <v>1.1995010254165154E-3</v>
      </c>
      <c r="AS507" s="187">
        <f>AR507*'DADOS BASE'!W$38</f>
        <v>359820.04145228467</v>
      </c>
      <c r="AU507" s="188">
        <v>0</v>
      </c>
      <c r="AV507" s="188">
        <v>0</v>
      </c>
      <c r="AW507" s="186">
        <f t="shared" si="350"/>
        <v>0</v>
      </c>
      <c r="AX507" s="186">
        <f>IF($AW$11&gt;0,(AW507/$AW$11)*'DADOS BASE'!W$40,0)</f>
        <v>0</v>
      </c>
      <c r="AY507" s="186">
        <f t="shared" si="351"/>
        <v>0</v>
      </c>
      <c r="AZ507" s="186">
        <f t="shared" si="352"/>
        <v>0</v>
      </c>
      <c r="BA507" s="186">
        <f>AZ507*'DADOS BASE'!W$41</f>
        <v>0</v>
      </c>
      <c r="BC507" s="188">
        <v>0</v>
      </c>
      <c r="BD507" s="186">
        <f>IF($BC$11&gt;0,(BC507/$BC$11)*'DADOS BASE'!W$39,0)</f>
        <v>0</v>
      </c>
      <c r="BE507" s="187"/>
    </row>
    <row r="508" spans="2:57" x14ac:dyDescent="0.3">
      <c r="B508" s="223" t="s">
        <v>608</v>
      </c>
      <c r="C508" s="223" t="s">
        <v>614</v>
      </c>
      <c r="D508" s="223" t="s">
        <v>94</v>
      </c>
      <c r="E508" s="223">
        <v>2003</v>
      </c>
      <c r="F508" s="224"/>
      <c r="G508" s="225"/>
      <c r="H508" s="226">
        <f ca="1">IF(AND(E508&gt;=2018,SUMIF('DADOS BASE'!$C$101:$D$104,D508,'DADOS BASE'!$H$101:$H$104)&gt;J508),
SUMIF('DADOS BASE'!$C$101:$D$104,D508,'DADOS BASE'!$H$101:$H$104),
J508)</f>
        <v>2084313.2608209874</v>
      </c>
      <c r="I508" s="225"/>
      <c r="J508" s="226">
        <f t="shared" si="341"/>
        <v>2084313.2608209874</v>
      </c>
      <c r="K508" s="226"/>
      <c r="L508" s="227">
        <v>2116.6210883659001</v>
      </c>
      <c r="M508" s="226">
        <f t="shared" si="342"/>
        <v>1.6512896808893887E-3</v>
      </c>
      <c r="N508" s="226">
        <f>L508*'DADOS BASE'!$I$29</f>
        <v>2084313.2608209874</v>
      </c>
      <c r="O508" s="228"/>
      <c r="P508" s="227">
        <v>0</v>
      </c>
      <c r="Q508" s="226">
        <f>P508*'DADOS BASE'!$I$33</f>
        <v>0</v>
      </c>
      <c r="R508" s="226"/>
      <c r="S508" s="227">
        <v>0</v>
      </c>
      <c r="T508" s="226">
        <f>S508*'DADOS BASE'!$I$37</f>
        <v>0</v>
      </c>
      <c r="U508" s="226"/>
      <c r="V508" s="226">
        <f t="shared" si="343"/>
        <v>0</v>
      </c>
      <c r="W508" s="228"/>
      <c r="X508" s="226"/>
      <c r="Y508" s="226"/>
      <c r="Z508" s="224"/>
      <c r="AA508" s="226"/>
      <c r="AB508" s="226"/>
      <c r="AC508" s="226"/>
      <c r="AD508" s="226"/>
      <c r="AE508" s="227">
        <v>1328</v>
      </c>
      <c r="AF508" s="227">
        <v>939.56110638591997</v>
      </c>
      <c r="AG508" s="226" t="s">
        <v>155</v>
      </c>
      <c r="AH508" s="229">
        <v>0.71299999999999997</v>
      </c>
      <c r="AI508" s="225">
        <f t="shared" si="344"/>
        <v>669.90706885316092</v>
      </c>
      <c r="AJ508" s="226">
        <f t="shared" si="345"/>
        <v>-1.2579794007292453E-2</v>
      </c>
      <c r="AK508" s="226"/>
      <c r="AL508" s="226">
        <f t="shared" si="346"/>
        <v>181.93666604544546</v>
      </c>
      <c r="AM508" s="228">
        <f t="shared" si="347"/>
        <v>170940.61524182439</v>
      </c>
      <c r="AN508" s="226"/>
      <c r="AO508" s="227">
        <v>1.0473501303215</v>
      </c>
      <c r="AP508" s="225"/>
      <c r="AQ508" s="226">
        <f t="shared" si="348"/>
        <v>984.049447218306</v>
      </c>
      <c r="AR508" s="226">
        <f t="shared" si="349"/>
        <v>1.0470184184312266E-3</v>
      </c>
      <c r="AS508" s="228">
        <f>AR508*'DADOS BASE'!W$38</f>
        <v>314079.10684395675</v>
      </c>
      <c r="AT508" s="225"/>
      <c r="AU508" s="227">
        <v>0</v>
      </c>
      <c r="AV508" s="227">
        <v>0</v>
      </c>
      <c r="AW508" s="226">
        <f t="shared" si="350"/>
        <v>0</v>
      </c>
      <c r="AX508" s="226">
        <f>IF($AW$11&gt;0,(AW508/$AW$11)*'DADOS BASE'!W$40,0)</f>
        <v>0</v>
      </c>
      <c r="AY508" s="226">
        <f t="shared" si="351"/>
        <v>0</v>
      </c>
      <c r="AZ508" s="226">
        <f t="shared" si="352"/>
        <v>0</v>
      </c>
      <c r="BA508" s="226">
        <f>AZ508*'DADOS BASE'!W$41</f>
        <v>0</v>
      </c>
      <c r="BB508" s="225"/>
      <c r="BC508" s="227">
        <v>0</v>
      </c>
      <c r="BD508" s="226">
        <f>IF($BC$11&gt;0,(BC508/$BC$11)*'DADOS BASE'!W$39,0)</f>
        <v>0</v>
      </c>
      <c r="BE508" s="187"/>
    </row>
    <row r="509" spans="2:57" x14ac:dyDescent="0.3">
      <c r="B509" s="184" t="s">
        <v>608</v>
      </c>
      <c r="C509" s="184" t="s">
        <v>615</v>
      </c>
      <c r="D509" s="184" t="s">
        <v>94</v>
      </c>
      <c r="E509" s="184">
        <v>2008</v>
      </c>
      <c r="F509" s="185"/>
      <c r="H509" s="186">
        <f ca="1">IF(AND(E509&gt;=2018,SUMIF('DADOS BASE'!$C$101:$D$104,D509,'DADOS BASE'!$H$101:$H$104)&gt;J509),
SUMIF('DADOS BASE'!$C$101:$D$104,D509,'DADOS BASE'!$H$101:$H$104),
J509)</f>
        <v>1591634.5410924114</v>
      </c>
      <c r="J509" s="186">
        <f t="shared" si="341"/>
        <v>1591634.5410924114</v>
      </c>
      <c r="K509" s="186"/>
      <c r="L509" s="188">
        <v>1616.3056187248999</v>
      </c>
      <c r="M509" s="186">
        <f t="shared" si="342"/>
        <v>1.260966737993011E-3</v>
      </c>
      <c r="N509" s="186">
        <f>L509*'DADOS BASE'!$I$29</f>
        <v>1591634.5410924114</v>
      </c>
      <c r="O509" s="187"/>
      <c r="P509" s="188">
        <v>0</v>
      </c>
      <c r="Q509" s="186">
        <f>P509*'DADOS BASE'!$I$33</f>
        <v>0</v>
      </c>
      <c r="R509" s="186"/>
      <c r="S509" s="188">
        <v>0</v>
      </c>
      <c r="T509" s="186">
        <f>S509*'DADOS BASE'!$I$37</f>
        <v>0</v>
      </c>
      <c r="U509" s="186"/>
      <c r="V509" s="186">
        <f t="shared" si="343"/>
        <v>0</v>
      </c>
      <c r="W509" s="187"/>
      <c r="X509" s="186"/>
      <c r="Y509" s="186"/>
      <c r="Z509" s="185"/>
      <c r="AA509" s="186"/>
      <c r="AB509" s="186"/>
      <c r="AC509" s="186"/>
      <c r="AD509" s="186"/>
      <c r="AE509" s="188">
        <v>1168</v>
      </c>
      <c r="AF509" s="188">
        <v>781.12130704229003</v>
      </c>
      <c r="AG509" s="186" t="s">
        <v>155</v>
      </c>
      <c r="AH509" s="189">
        <v>0.745</v>
      </c>
      <c r="AI509" s="183">
        <f t="shared" si="344"/>
        <v>581.93537374650612</v>
      </c>
      <c r="AJ509" s="186">
        <f t="shared" si="345"/>
        <v>3.0581616011261189E-2</v>
      </c>
      <c r="AK509" s="186"/>
      <c r="AL509" s="186">
        <f t="shared" si="346"/>
        <v>174.18158038496705</v>
      </c>
      <c r="AM509" s="187">
        <f t="shared" si="347"/>
        <v>136056.94373299717</v>
      </c>
      <c r="AN509" s="186"/>
      <c r="AO509" s="188">
        <v>1.9665427509294</v>
      </c>
      <c r="AQ509" s="186">
        <f t="shared" si="348"/>
        <v>1536.1084439605136</v>
      </c>
      <c r="AR509" s="186">
        <f t="shared" si="349"/>
        <v>1.6344034723872868E-3</v>
      </c>
      <c r="AS509" s="187">
        <f>AR509*'DADOS BASE'!W$38</f>
        <v>490279.80195343512</v>
      </c>
      <c r="AU509" s="188">
        <v>0</v>
      </c>
      <c r="AV509" s="188">
        <v>0</v>
      </c>
      <c r="AW509" s="186">
        <f t="shared" si="350"/>
        <v>0</v>
      </c>
      <c r="AX509" s="186">
        <f>IF($AW$11&gt;0,(AW509/$AW$11)*'DADOS BASE'!W$40,0)</f>
        <v>0</v>
      </c>
      <c r="AY509" s="186">
        <f t="shared" si="351"/>
        <v>0</v>
      </c>
      <c r="AZ509" s="186">
        <f t="shared" si="352"/>
        <v>0</v>
      </c>
      <c r="BA509" s="186">
        <f>AZ509*'DADOS BASE'!W$41</f>
        <v>0</v>
      </c>
      <c r="BC509" s="188">
        <v>0</v>
      </c>
      <c r="BD509" s="186">
        <f>IF($BC$11&gt;0,(BC509/$BC$11)*'DADOS BASE'!W$39,0)</f>
        <v>0</v>
      </c>
      <c r="BE509" s="187"/>
    </row>
    <row r="510" spans="2:57" x14ac:dyDescent="0.3">
      <c r="B510" s="223" t="s">
        <v>608</v>
      </c>
      <c r="C510" s="223" t="s">
        <v>616</v>
      </c>
      <c r="D510" s="223" t="s">
        <v>94</v>
      </c>
      <c r="E510" s="223">
        <v>2009</v>
      </c>
      <c r="F510" s="224"/>
      <c r="G510" s="225"/>
      <c r="H510" s="226">
        <f ca="1">IF(AND(E510&gt;=2018,SUMIF('DADOS BASE'!$C$101:$D$104,D510,'DADOS BASE'!$H$101:$H$104)&gt;J510),
SUMIF('DADOS BASE'!$C$101:$D$104,D510,'DADOS BASE'!$H$101:$H$104),
J510)</f>
        <v>971985.50593034725</v>
      </c>
      <c r="I510" s="225"/>
      <c r="J510" s="226">
        <f t="shared" si="341"/>
        <v>971985.50593034725</v>
      </c>
      <c r="K510" s="226"/>
      <c r="L510" s="227">
        <v>987.05173454963995</v>
      </c>
      <c r="M510" s="226">
        <f t="shared" si="342"/>
        <v>7.700520195724472E-4</v>
      </c>
      <c r="N510" s="226">
        <f>L510*'DADOS BASE'!$I$29</f>
        <v>971985.50593034725</v>
      </c>
      <c r="O510" s="228"/>
      <c r="P510" s="227">
        <v>0</v>
      </c>
      <c r="Q510" s="226">
        <f>P510*'DADOS BASE'!$I$33</f>
        <v>0</v>
      </c>
      <c r="R510" s="226"/>
      <c r="S510" s="227">
        <v>0</v>
      </c>
      <c r="T510" s="226">
        <f>S510*'DADOS BASE'!$I$37</f>
        <v>0</v>
      </c>
      <c r="U510" s="226"/>
      <c r="V510" s="226">
        <f t="shared" si="343"/>
        <v>0</v>
      </c>
      <c r="W510" s="228"/>
      <c r="X510" s="226"/>
      <c r="Y510" s="226"/>
      <c r="Z510" s="224"/>
      <c r="AA510" s="226"/>
      <c r="AB510" s="226"/>
      <c r="AC510" s="226"/>
      <c r="AD510" s="226"/>
      <c r="AE510" s="227">
        <v>719</v>
      </c>
      <c r="AF510" s="227">
        <v>508.80069813505997</v>
      </c>
      <c r="AG510" s="226" t="s">
        <v>155</v>
      </c>
      <c r="AH510" s="229">
        <v>0.73799999999999999</v>
      </c>
      <c r="AI510" s="225">
        <f t="shared" si="344"/>
        <v>375.49491522367424</v>
      </c>
      <c r="AJ510" s="226">
        <f t="shared" si="345"/>
        <v>2.1140057569702581E-2</v>
      </c>
      <c r="AK510" s="226"/>
      <c r="AL510" s="226">
        <f t="shared" si="346"/>
        <v>175.87800537319669</v>
      </c>
      <c r="AM510" s="228">
        <f t="shared" si="347"/>
        <v>89486.851920484303</v>
      </c>
      <c r="AN510" s="226"/>
      <c r="AO510" s="227">
        <v>2.1393188854488998</v>
      </c>
      <c r="AP510" s="225"/>
      <c r="AQ510" s="226">
        <f t="shared" si="348"/>
        <v>1088.4869424499186</v>
      </c>
      <c r="AR510" s="226">
        <f t="shared" si="349"/>
        <v>1.1581388315277685E-3</v>
      </c>
      <c r="AS510" s="228">
        <f>AR510*'DADOS BASE'!W$38</f>
        <v>347412.42694904702</v>
      </c>
      <c r="AT510" s="225"/>
      <c r="AU510" s="227">
        <v>0</v>
      </c>
      <c r="AV510" s="227">
        <v>0</v>
      </c>
      <c r="AW510" s="226">
        <f t="shared" si="350"/>
        <v>0</v>
      </c>
      <c r="AX510" s="226">
        <f>IF($AW$11&gt;0,(AW510/$AW$11)*'DADOS BASE'!W$40,0)</f>
        <v>0</v>
      </c>
      <c r="AY510" s="226">
        <f t="shared" si="351"/>
        <v>0</v>
      </c>
      <c r="AZ510" s="226">
        <f t="shared" si="352"/>
        <v>0</v>
      </c>
      <c r="BA510" s="226">
        <f>AZ510*'DADOS BASE'!W$41</f>
        <v>0</v>
      </c>
      <c r="BB510" s="225"/>
      <c r="BC510" s="227">
        <v>0</v>
      </c>
      <c r="BD510" s="226">
        <f>IF($BC$11&gt;0,(BC510/$BC$11)*'DADOS BASE'!W$39,0)</f>
        <v>0</v>
      </c>
      <c r="BE510" s="187"/>
    </row>
    <row r="511" spans="2:57" x14ac:dyDescent="0.3">
      <c r="B511" s="184" t="s">
        <v>608</v>
      </c>
      <c r="C511" s="184" t="s">
        <v>617</v>
      </c>
      <c r="D511" s="184" t="s">
        <v>94</v>
      </c>
      <c r="E511" s="184">
        <v>1978</v>
      </c>
      <c r="F511" s="185"/>
      <c r="H511" s="186">
        <f ca="1">IF(AND(E511&gt;=2018,SUMIF('DADOS BASE'!$C$101:$D$104,D511,'DADOS BASE'!$H$101:$H$104)&gt;J511),
SUMIF('DADOS BASE'!$C$101:$D$104,D511,'DADOS BASE'!$H$101:$H$104),
J511)</f>
        <v>13434808.842466271</v>
      </c>
      <c r="J511" s="186">
        <f t="shared" si="341"/>
        <v>13434808.842466271</v>
      </c>
      <c r="K511" s="186"/>
      <c r="L511" s="188">
        <v>11162.055836764001</v>
      </c>
      <c r="M511" s="186">
        <f t="shared" si="342"/>
        <v>8.7081186718164557E-3</v>
      </c>
      <c r="N511" s="186">
        <f>L511*'DADOS BASE'!$I$29</f>
        <v>10991679.675908837</v>
      </c>
      <c r="O511" s="187"/>
      <c r="P511" s="188">
        <v>0</v>
      </c>
      <c r="Q511" s="186">
        <f>P511*'DADOS BASE'!$I$33</f>
        <v>0</v>
      </c>
      <c r="R511" s="186"/>
      <c r="S511" s="188">
        <v>3101.2485099650999</v>
      </c>
      <c r="T511" s="186">
        <f>S511*'DADOS BASE'!$I$37</f>
        <v>2443129.1665574331</v>
      </c>
      <c r="U511" s="186"/>
      <c r="V511" s="186">
        <f t="shared" si="343"/>
        <v>2443129.1665574331</v>
      </c>
      <c r="W511" s="187"/>
      <c r="X511" s="186"/>
      <c r="Y511" s="186"/>
      <c r="Z511" s="185"/>
      <c r="AA511" s="186"/>
      <c r="AB511" s="186"/>
      <c r="AC511" s="186"/>
      <c r="AD511" s="186"/>
      <c r="AE511" s="188">
        <v>8247</v>
      </c>
      <c r="AF511" s="188">
        <v>5069.9583220595996</v>
      </c>
      <c r="AG511" s="186" t="s">
        <v>155</v>
      </c>
      <c r="AH511" s="189">
        <v>0.79900000000000004</v>
      </c>
      <c r="AI511" s="183">
        <f t="shared" si="344"/>
        <v>4050.8966993256204</v>
      </c>
      <c r="AJ511" s="186">
        <f t="shared" si="345"/>
        <v>0.10341649541757046</v>
      </c>
      <c r="AK511" s="186"/>
      <c r="AL511" s="186">
        <f t="shared" si="346"/>
        <v>161.09487333290971</v>
      </c>
      <c r="AM511" s="187">
        <f t="shared" si="347"/>
        <v>816744.2936953227</v>
      </c>
      <c r="AN511" s="186"/>
      <c r="AO511" s="188">
        <v>0</v>
      </c>
      <c r="AQ511" s="186">
        <f t="shared" si="348"/>
        <v>0</v>
      </c>
      <c r="AR511" s="186">
        <f t="shared" si="349"/>
        <v>0</v>
      </c>
      <c r="AS511" s="187">
        <f>AR511*'DADOS BASE'!W$38</f>
        <v>0</v>
      </c>
      <c r="AU511" s="188">
        <v>1529.3082747983999</v>
      </c>
      <c r="AV511" s="188">
        <v>719.25</v>
      </c>
      <c r="AW511" s="186">
        <f t="shared" si="350"/>
        <v>382.32706869959998</v>
      </c>
      <c r="AX511" s="186">
        <f>IF($AW$11&gt;0,(AW511/$AW$11)*'DADOS BASE'!W$40,0)</f>
        <v>68695.141488901005</v>
      </c>
      <c r="AY511" s="186">
        <f t="shared" si="351"/>
        <v>0</v>
      </c>
      <c r="AZ511" s="186">
        <f t="shared" si="352"/>
        <v>0</v>
      </c>
      <c r="BA511" s="186">
        <f>AZ511*'DADOS BASE'!W$41</f>
        <v>0</v>
      </c>
      <c r="BC511" s="188">
        <v>0</v>
      </c>
      <c r="BD511" s="186">
        <f>IF($BC$11&gt;0,(BC511/$BC$11)*'DADOS BASE'!W$39,0)</f>
        <v>0</v>
      </c>
      <c r="BE511" s="187"/>
    </row>
    <row r="512" spans="2:57" x14ac:dyDescent="0.3">
      <c r="F512" s="185"/>
      <c r="H512" s="186"/>
      <c r="J512" s="186"/>
      <c r="K512" s="186"/>
      <c r="L512" s="186"/>
      <c r="M512" s="186"/>
      <c r="N512" s="186"/>
      <c r="O512" s="187"/>
      <c r="P512" s="186"/>
      <c r="Q512" s="186"/>
      <c r="R512" s="186"/>
      <c r="S512" s="186"/>
      <c r="T512" s="186"/>
      <c r="U512" s="186"/>
      <c r="V512" s="186"/>
      <c r="W512" s="187"/>
      <c r="X512" s="186"/>
      <c r="Y512" s="186"/>
      <c r="Z512" s="185"/>
      <c r="AA512" s="186"/>
      <c r="AB512" s="186"/>
      <c r="AC512" s="186"/>
      <c r="AD512" s="186"/>
      <c r="AE512" s="186"/>
      <c r="AF512" s="186"/>
      <c r="AG512" s="186"/>
      <c r="AH512" s="185"/>
      <c r="AJ512" s="186"/>
      <c r="AK512" s="186"/>
      <c r="AL512" s="186"/>
      <c r="AM512" s="187"/>
      <c r="AN512" s="186"/>
      <c r="AO512" s="186"/>
      <c r="AQ512" s="186"/>
      <c r="AR512" s="186"/>
      <c r="AS512" s="187"/>
      <c r="AU512" s="186"/>
      <c r="AV512" s="186"/>
      <c r="AW512" s="186"/>
      <c r="AX512" s="186"/>
      <c r="AY512" s="186"/>
      <c r="AZ512" s="186"/>
      <c r="BA512" s="186"/>
      <c r="BC512" s="186"/>
      <c r="BD512" s="186"/>
      <c r="BE512" s="187"/>
    </row>
    <row r="513" spans="2:57" x14ac:dyDescent="0.3">
      <c r="B513" s="209" t="s">
        <v>608</v>
      </c>
      <c r="C513" s="209" t="s">
        <v>618</v>
      </c>
      <c r="D513" s="211" t="s">
        <v>154</v>
      </c>
      <c r="E513" s="211"/>
      <c r="F513" s="210"/>
      <c r="G513" s="211"/>
      <c r="H513" s="212">
        <f ca="1">SUM(H514:H528)</f>
        <v>19303868.538643692</v>
      </c>
      <c r="I513" s="211"/>
      <c r="J513" s="212">
        <f>SUM(J514:J528)</f>
        <v>19303868.538643692</v>
      </c>
      <c r="K513" s="212"/>
      <c r="L513" s="212">
        <f>SUM(L514:L528)</f>
        <v>19538.48039110786</v>
      </c>
      <c r="M513" s="212">
        <f>SUM(M514:M528)</f>
        <v>1.5243016913813653E-2</v>
      </c>
      <c r="N513" s="212">
        <f>SUM(N514:N528)</f>
        <v>19240247.581071503</v>
      </c>
      <c r="O513" s="214"/>
      <c r="P513" s="212">
        <f>SUM(P514:P528)</f>
        <v>0</v>
      </c>
      <c r="Q513" s="212">
        <f>SUM(Q514:Q528)</f>
        <v>0</v>
      </c>
      <c r="R513" s="212"/>
      <c r="S513" s="212">
        <f>SUM(S514:S528)</f>
        <v>80.758890104578199</v>
      </c>
      <c r="T513" s="212">
        <f>SUM(T514:T528)</f>
        <v>63620.957572188199</v>
      </c>
      <c r="U513" s="212"/>
      <c r="V513" s="212">
        <f>SUM(V514:V528)</f>
        <v>63620.957572188199</v>
      </c>
      <c r="W513" s="214"/>
      <c r="X513" s="212">
        <f>SUMIF(INDICADORES!$D$13:$D$53,C513,INDICADORES!$L$13:$L$53)</f>
        <v>6.8615367634885308E-2</v>
      </c>
      <c r="Y513" s="212">
        <f>X513*'DADOS BASE'!$I$79</f>
        <v>2849130.7677947427</v>
      </c>
      <c r="Z513" s="210">
        <f>SUMIF(INDICADORES!$D$13:$D$53,C513,INDICADORES!$R$13:$R$53)</f>
        <v>2.492979540374806E-2</v>
      </c>
      <c r="AA513" s="212">
        <f>Z513*'DADOS BASE'!$I$84</f>
        <v>1035165.2926732189</v>
      </c>
      <c r="AB513" s="212">
        <f>SUMIF(INDICADORES!$D$13:$D$53,C513,INDICADORES!$Z$13:$Z$53)</f>
        <v>1.9012976291256437E-2</v>
      </c>
      <c r="AC513" s="212">
        <f>AB513*'DADOS BASE'!$I$89</f>
        <v>1578959.8629572727</v>
      </c>
      <c r="AD513" s="212"/>
      <c r="AE513" s="212">
        <f>SUM(AE514:AE528)</f>
        <v>15812</v>
      </c>
      <c r="AF513" s="212">
        <f>SUM(AF514:AF528)</f>
        <v>11573.203307842949</v>
      </c>
      <c r="AG513" s="212" t="s">
        <v>155</v>
      </c>
      <c r="AH513" s="210"/>
      <c r="AI513" s="211"/>
      <c r="AJ513" s="212"/>
      <c r="AK513" s="212"/>
      <c r="AL513" s="212"/>
      <c r="AM513" s="214">
        <f>SUM(AM514:AM528)</f>
        <v>1871931.2365420484</v>
      </c>
      <c r="AN513" s="212"/>
      <c r="AO513" s="212"/>
      <c r="AP513" s="211"/>
      <c r="AQ513" s="212">
        <f>SUM(AQ514:AQ528)</f>
        <v>12334.886712813013</v>
      </c>
      <c r="AR513" s="212"/>
      <c r="AS513" s="214">
        <f>SUM(AS514:AS528)</f>
        <v>3936926.3533789134</v>
      </c>
      <c r="AT513" s="211"/>
      <c r="AU513" s="212">
        <f t="shared" ref="AU513:BA513" si="353">SUM(AU514:AU528)</f>
        <v>68.988511272527205</v>
      </c>
      <c r="AV513" s="212">
        <f t="shared" si="353"/>
        <v>432.5</v>
      </c>
      <c r="AW513" s="212">
        <f t="shared" si="353"/>
        <v>17.247127818131801</v>
      </c>
      <c r="AX513" s="212">
        <f t="shared" si="353"/>
        <v>3098.9013929187286</v>
      </c>
      <c r="AY513" s="212">
        <f t="shared" si="353"/>
        <v>17.443154484688414</v>
      </c>
      <c r="AZ513" s="212">
        <f t="shared" si="353"/>
        <v>9.1228248247705553E-4</v>
      </c>
      <c r="BA513" s="212">
        <f t="shared" si="353"/>
        <v>6739.8095775009078</v>
      </c>
      <c r="BB513" s="211"/>
      <c r="BC513" s="212">
        <f>SUM(BC514:BC528)</f>
        <v>0</v>
      </c>
      <c r="BD513" s="212">
        <f>SUM(BD514:BD528)</f>
        <v>0</v>
      </c>
      <c r="BE513" s="187"/>
    </row>
    <row r="514" spans="2:57" x14ac:dyDescent="0.3">
      <c r="B514" s="216" t="s">
        <v>608</v>
      </c>
      <c r="C514" s="218" t="s">
        <v>156</v>
      </c>
      <c r="D514" s="218" t="s">
        <v>157</v>
      </c>
      <c r="E514" s="218"/>
      <c r="F514" s="217"/>
      <c r="G514" s="218"/>
      <c r="H514" s="219"/>
      <c r="I514" s="218"/>
      <c r="J514" s="219"/>
      <c r="K514" s="219"/>
      <c r="L514" s="219">
        <v>0</v>
      </c>
      <c r="M514" s="219">
        <v>0</v>
      </c>
      <c r="N514" s="219">
        <v>0</v>
      </c>
      <c r="O514" s="221"/>
      <c r="P514" s="219"/>
      <c r="Q514" s="219"/>
      <c r="R514" s="219"/>
      <c r="S514" s="219"/>
      <c r="T514" s="219"/>
      <c r="U514" s="219"/>
      <c r="V514" s="219"/>
      <c r="W514" s="221"/>
      <c r="X514" s="219"/>
      <c r="Y514" s="219"/>
      <c r="Z514" s="217"/>
      <c r="AA514" s="219"/>
      <c r="AB514" s="219"/>
      <c r="AC514" s="219"/>
      <c r="AD514" s="219"/>
      <c r="AE514" s="219"/>
      <c r="AF514" s="219"/>
      <c r="AG514" s="219" t="s">
        <v>155</v>
      </c>
      <c r="AH514" s="217"/>
      <c r="AI514" s="218"/>
      <c r="AJ514" s="219"/>
      <c r="AK514" s="219"/>
      <c r="AL514" s="219"/>
      <c r="AM514" s="221"/>
      <c r="AN514" s="219"/>
      <c r="AO514" s="219"/>
      <c r="AP514" s="218"/>
      <c r="AQ514" s="219"/>
      <c r="AR514" s="219"/>
      <c r="AS514" s="221"/>
      <c r="AT514" s="218"/>
      <c r="AU514" s="219"/>
      <c r="AV514" s="219"/>
      <c r="AW514" s="219"/>
      <c r="AX514" s="219"/>
      <c r="AY514" s="219"/>
      <c r="AZ514" s="219"/>
      <c r="BA514" s="219"/>
      <c r="BB514" s="218"/>
      <c r="BC514" s="219"/>
      <c r="BD514" s="219"/>
      <c r="BE514" s="187"/>
    </row>
    <row r="515" spans="2:57" x14ac:dyDescent="0.3">
      <c r="B515" s="184" t="s">
        <v>608</v>
      </c>
      <c r="C515" s="184" t="s">
        <v>619</v>
      </c>
      <c r="D515" s="184" t="s">
        <v>94</v>
      </c>
      <c r="E515" s="184">
        <v>2016</v>
      </c>
      <c r="F515" s="185"/>
      <c r="H515" s="186">
        <f ca="1">IF(AND(E515&gt;=2018,SUMIF('DADOS BASE'!$C$101:$D$104,D515,'DADOS BASE'!$H$101:$H$104)&gt;J515),
SUMIF('DADOS BASE'!$C$101:$D$104,D515,'DADOS BASE'!$H$101:$H$104),
J515)</f>
        <v>1491460.6300388139</v>
      </c>
      <c r="J515" s="186">
        <f t="shared" ref="J515:J528" si="354">N515+Q515+T515</f>
        <v>1491460.6300388139</v>
      </c>
      <c r="K515" s="186"/>
      <c r="L515" s="188">
        <v>1514.5789653346999</v>
      </c>
      <c r="M515" s="186">
        <f t="shared" ref="M515:M528" si="355">L515/$L$11</f>
        <v>1.1816043174171418E-3</v>
      </c>
      <c r="N515" s="186">
        <f>L515*'DADOS BASE'!$I$29</f>
        <v>1491460.6300388139</v>
      </c>
      <c r="O515" s="187"/>
      <c r="P515" s="188">
        <v>0</v>
      </c>
      <c r="Q515" s="186">
        <f>P515*'DADOS BASE'!$I$33</f>
        <v>0</v>
      </c>
      <c r="R515" s="186"/>
      <c r="S515" s="188">
        <v>0</v>
      </c>
      <c r="T515" s="186">
        <f>S515*'DADOS BASE'!$I$37</f>
        <v>0</v>
      </c>
      <c r="U515" s="186"/>
      <c r="V515" s="186">
        <f t="shared" ref="V515:V528" si="356">T515+Q515</f>
        <v>0</v>
      </c>
      <c r="W515" s="187"/>
      <c r="X515" s="186"/>
      <c r="Y515" s="186"/>
      <c r="Z515" s="185"/>
      <c r="AA515" s="186"/>
      <c r="AB515" s="186"/>
      <c r="AC515" s="186"/>
      <c r="AD515" s="186"/>
      <c r="AE515" s="188">
        <v>1416</v>
      </c>
      <c r="AF515" s="188">
        <v>916.83891221040005</v>
      </c>
      <c r="AG515" s="186" t="s">
        <v>155</v>
      </c>
      <c r="AH515" s="189">
        <v>0.79900000000000004</v>
      </c>
      <c r="AI515" s="183">
        <f t="shared" ref="AI515:AI528" si="357">AF515*AH515</f>
        <v>732.55429085610967</v>
      </c>
      <c r="AJ515" s="186">
        <f t="shared" ref="AJ515:AJ528" si="358">(AH515-$AI$12)*$AJ$12</f>
        <v>0.10341649541757046</v>
      </c>
      <c r="AK515" s="186"/>
      <c r="AL515" s="186">
        <f t="shared" ref="AL515:AL528" si="359">$AL$11-(AJ515*$AL$11)</f>
        <v>161.09487333290971</v>
      </c>
      <c r="AM515" s="187">
        <f t="shared" ref="AM515:AM528" si="360">AF515*AL515</f>
        <v>147698.04842921713</v>
      </c>
      <c r="AN515" s="186"/>
      <c r="AO515" s="188">
        <v>0.94259818731117995</v>
      </c>
      <c r="AQ515" s="186">
        <f t="shared" ref="AQ515:AQ528" si="361">AF515*AO515</f>
        <v>864.21069670587713</v>
      </c>
      <c r="AR515" s="186">
        <f t="shared" ref="AR515:AR528" si="362">AQ515/$AQ$11</f>
        <v>9.1951122925187836E-4</v>
      </c>
      <c r="AS515" s="187">
        <f>AR515*'DADOS BASE'!W$38</f>
        <v>275830.16739011504</v>
      </c>
      <c r="AU515" s="188">
        <v>0</v>
      </c>
      <c r="AV515" s="188">
        <v>0</v>
      </c>
      <c r="AW515" s="186">
        <f t="shared" ref="AW515:AW528" si="363">AU515/4</f>
        <v>0</v>
      </c>
      <c r="AX515" s="186">
        <f>IF($AW$11&gt;0,(AW515/$AW$11)*'DADOS BASE'!W$40,0)</f>
        <v>0</v>
      </c>
      <c r="AY515" s="186">
        <f t="shared" ref="AY515:AY528" si="364">AO515*AW515</f>
        <v>0</v>
      </c>
      <c r="AZ515" s="186">
        <f t="shared" ref="AZ515:AZ528" si="365">IF($AY$11&gt;0,AY515/$AY$11,0)</f>
        <v>0</v>
      </c>
      <c r="BA515" s="186">
        <f>AZ515*'DADOS BASE'!W$41</f>
        <v>0</v>
      </c>
      <c r="BC515" s="188">
        <v>0</v>
      </c>
      <c r="BD515" s="186">
        <f>IF($BC$11&gt;0,(BC515/$BC$11)*'DADOS BASE'!W$39,0)</f>
        <v>0</v>
      </c>
      <c r="BE515" s="187"/>
    </row>
    <row r="516" spans="2:57" x14ac:dyDescent="0.3">
      <c r="B516" s="223" t="s">
        <v>608</v>
      </c>
      <c r="C516" s="223" t="s">
        <v>620</v>
      </c>
      <c r="D516" s="223" t="s">
        <v>94</v>
      </c>
      <c r="E516" s="223">
        <v>2016</v>
      </c>
      <c r="F516" s="224"/>
      <c r="G516" s="225"/>
      <c r="H516" s="226">
        <f ca="1">IF(AND(E516&gt;=2018,SUMIF('DADOS BASE'!$C$101:$D$104,D516,'DADOS BASE'!$H$101:$H$104)&gt;J516),
SUMIF('DADOS BASE'!$C$101:$D$104,D516,'DADOS BASE'!$H$101:$H$104),
J516)</f>
        <v>986575.87892371078</v>
      </c>
      <c r="I516" s="225"/>
      <c r="J516" s="226">
        <f t="shared" si="354"/>
        <v>986575.87892371078</v>
      </c>
      <c r="K516" s="226"/>
      <c r="L516" s="227">
        <v>1001.8682651285</v>
      </c>
      <c r="M516" s="226">
        <f t="shared" si="355"/>
        <v>7.8161119007581889E-4</v>
      </c>
      <c r="N516" s="226">
        <f>L516*'DADOS BASE'!$I$29</f>
        <v>986575.87892371078</v>
      </c>
      <c r="O516" s="228"/>
      <c r="P516" s="227">
        <v>0</v>
      </c>
      <c r="Q516" s="226">
        <f>P516*'DADOS BASE'!$I$33</f>
        <v>0</v>
      </c>
      <c r="R516" s="226"/>
      <c r="S516" s="227">
        <v>0</v>
      </c>
      <c r="T516" s="226">
        <f>S516*'DADOS BASE'!$I$37</f>
        <v>0</v>
      </c>
      <c r="U516" s="226"/>
      <c r="V516" s="226">
        <f t="shared" si="356"/>
        <v>0</v>
      </c>
      <c r="W516" s="228"/>
      <c r="X516" s="226"/>
      <c r="Y516" s="226"/>
      <c r="Z516" s="224"/>
      <c r="AA516" s="226"/>
      <c r="AB516" s="226"/>
      <c r="AC516" s="226"/>
      <c r="AD516" s="226"/>
      <c r="AE516" s="227">
        <v>750</v>
      </c>
      <c r="AF516" s="227">
        <v>571.07810609804994</v>
      </c>
      <c r="AG516" s="226" t="s">
        <v>155</v>
      </c>
      <c r="AH516" s="229">
        <v>0.71099999999999997</v>
      </c>
      <c r="AI516" s="225">
        <f t="shared" si="357"/>
        <v>406.03653343571347</v>
      </c>
      <c r="AJ516" s="226">
        <f t="shared" si="358"/>
        <v>-1.5277382133452056E-2</v>
      </c>
      <c r="AK516" s="226"/>
      <c r="AL516" s="226">
        <f t="shared" si="359"/>
        <v>182.42135889922537</v>
      </c>
      <c r="AM516" s="228">
        <f t="shared" si="360"/>
        <v>104176.84415200228</v>
      </c>
      <c r="AN516" s="226"/>
      <c r="AO516" s="227">
        <v>1.3280141843972</v>
      </c>
      <c r="AP516" s="225"/>
      <c r="AQ516" s="226">
        <f t="shared" si="361"/>
        <v>758.39982529689939</v>
      </c>
      <c r="AR516" s="226">
        <f t="shared" si="362"/>
        <v>8.0692955812892259E-4</v>
      </c>
      <c r="AS516" s="228">
        <f>AR516*'DADOS BASE'!W$38</f>
        <v>242058.50674800514</v>
      </c>
      <c r="AT516" s="225"/>
      <c r="AU516" s="227">
        <v>0</v>
      </c>
      <c r="AV516" s="227">
        <v>0</v>
      </c>
      <c r="AW516" s="226">
        <f t="shared" si="363"/>
        <v>0</v>
      </c>
      <c r="AX516" s="226">
        <f>IF($AW$11&gt;0,(AW516/$AW$11)*'DADOS BASE'!W$40,0)</f>
        <v>0</v>
      </c>
      <c r="AY516" s="226">
        <f t="shared" si="364"/>
        <v>0</v>
      </c>
      <c r="AZ516" s="226">
        <f t="shared" si="365"/>
        <v>0</v>
      </c>
      <c r="BA516" s="226">
        <f>AZ516*'DADOS BASE'!W$41</f>
        <v>0</v>
      </c>
      <c r="BB516" s="225"/>
      <c r="BC516" s="227">
        <v>0</v>
      </c>
      <c r="BD516" s="226">
        <f>IF($BC$11&gt;0,(BC516/$BC$11)*'DADOS BASE'!W$39,0)</f>
        <v>0</v>
      </c>
      <c r="BE516" s="187"/>
    </row>
    <row r="517" spans="2:57" x14ac:dyDescent="0.3">
      <c r="B517" s="184" t="s">
        <v>608</v>
      </c>
      <c r="C517" s="184" t="s">
        <v>621</v>
      </c>
      <c r="D517" s="184" t="s">
        <v>94</v>
      </c>
      <c r="E517" s="184">
        <v>2016</v>
      </c>
      <c r="F517" s="185"/>
      <c r="H517" s="186">
        <f ca="1">IF(AND(E517&gt;=2018,SUMIF('DADOS BASE'!$C$101:$D$104,D517,'DADOS BASE'!$H$101:$H$104)&gt;J517),
SUMIF('DADOS BASE'!$C$101:$D$104,D517,'DADOS BASE'!$H$101:$H$104),
J517)</f>
        <v>623903.68266823329</v>
      </c>
      <c r="J517" s="186">
        <f t="shared" si="354"/>
        <v>623903.68266823329</v>
      </c>
      <c r="K517" s="186"/>
      <c r="L517" s="188">
        <v>626.05376641618</v>
      </c>
      <c r="M517" s="186">
        <f t="shared" si="355"/>
        <v>4.8841813485053093E-4</v>
      </c>
      <c r="N517" s="186">
        <f>L517*'DADOS BASE'!$I$29</f>
        <v>616497.76358204382</v>
      </c>
      <c r="O517" s="187"/>
      <c r="P517" s="188">
        <v>0</v>
      </c>
      <c r="Q517" s="186">
        <f>P517*'DADOS BASE'!$I$33</f>
        <v>0</v>
      </c>
      <c r="R517" s="186"/>
      <c r="S517" s="188">
        <v>9.4008928571428996</v>
      </c>
      <c r="T517" s="186">
        <f>S517*'DADOS BASE'!$I$37</f>
        <v>7405.9190861894931</v>
      </c>
      <c r="U517" s="186"/>
      <c r="V517" s="186">
        <f t="shared" si="356"/>
        <v>7405.9190861894931</v>
      </c>
      <c r="W517" s="187"/>
      <c r="X517" s="186"/>
      <c r="Y517" s="186"/>
      <c r="Z517" s="185"/>
      <c r="AA517" s="186"/>
      <c r="AB517" s="186"/>
      <c r="AC517" s="186"/>
      <c r="AD517" s="186"/>
      <c r="AE517" s="188">
        <v>392</v>
      </c>
      <c r="AF517" s="188">
        <v>313.02688320809</v>
      </c>
      <c r="AG517" s="186" t="s">
        <v>155</v>
      </c>
      <c r="AH517" s="189">
        <v>0.79900000000000004</v>
      </c>
      <c r="AI517" s="183">
        <f t="shared" si="357"/>
        <v>250.10847968326391</v>
      </c>
      <c r="AJ517" s="186">
        <f t="shared" si="358"/>
        <v>0.10341649541757046</v>
      </c>
      <c r="AK517" s="186"/>
      <c r="AL517" s="186">
        <f t="shared" si="359"/>
        <v>161.09487333290971</v>
      </c>
      <c r="AM517" s="187">
        <f t="shared" si="360"/>
        <v>50427.026100202784</v>
      </c>
      <c r="AN517" s="186"/>
      <c r="AO517" s="188">
        <v>0.90250447227191</v>
      </c>
      <c r="AQ517" s="186">
        <f t="shared" si="361"/>
        <v>282.50816203663805</v>
      </c>
      <c r="AR517" s="186">
        <f t="shared" si="362"/>
        <v>3.0058575800804633E-4</v>
      </c>
      <c r="AS517" s="187">
        <f>AR517*'DADOS BASE'!W$38</f>
        <v>90168.142931653783</v>
      </c>
      <c r="AU517" s="188">
        <v>9.4008928571428996</v>
      </c>
      <c r="AV517" s="188">
        <v>69.5</v>
      </c>
      <c r="AW517" s="186">
        <f t="shared" si="363"/>
        <v>2.3502232142857249</v>
      </c>
      <c r="AX517" s="186">
        <f>IF($AW$11&gt;0,(AW517/$AW$11)*'DADOS BASE'!W$40,0)</f>
        <v>422.27958586607531</v>
      </c>
      <c r="AY517" s="186">
        <f t="shared" si="364"/>
        <v>2.1210869617301302</v>
      </c>
      <c r="AZ517" s="186">
        <f t="shared" si="365"/>
        <v>1.1093351725431583E-4</v>
      </c>
      <c r="BA517" s="186">
        <f>AZ517*'DADOS BASE'!W$41</f>
        <v>819.56060367004204</v>
      </c>
      <c r="BC517" s="188">
        <v>0</v>
      </c>
      <c r="BD517" s="186">
        <f>IF($BC$11&gt;0,(BC517/$BC$11)*'DADOS BASE'!W$39,0)</f>
        <v>0</v>
      </c>
      <c r="BE517" s="187"/>
    </row>
    <row r="518" spans="2:57" x14ac:dyDescent="0.3">
      <c r="B518" s="223" t="s">
        <v>608</v>
      </c>
      <c r="C518" s="223" t="s">
        <v>622</v>
      </c>
      <c r="D518" s="223" t="s">
        <v>94</v>
      </c>
      <c r="E518" s="223">
        <v>2016</v>
      </c>
      <c r="F518" s="224"/>
      <c r="G518" s="225"/>
      <c r="H518" s="226">
        <f ca="1">IF(AND(E518&gt;=2018,SUMIF('DADOS BASE'!$C$101:$D$104,D518,'DADOS BASE'!$H$101:$H$104)&gt;J518),
SUMIF('DADOS BASE'!$C$101:$D$104,D518,'DADOS BASE'!$H$101:$H$104),
J518)</f>
        <v>1698263.1794854393</v>
      </c>
      <c r="I518" s="225"/>
      <c r="J518" s="226">
        <f t="shared" si="354"/>
        <v>1698263.1794854393</v>
      </c>
      <c r="K518" s="226"/>
      <c r="L518" s="227">
        <v>1723.2070507384001</v>
      </c>
      <c r="M518" s="226">
        <f t="shared" si="355"/>
        <v>1.3443662810318998E-3</v>
      </c>
      <c r="N518" s="226">
        <f>L518*'DADOS BASE'!$I$29</f>
        <v>1696904.2436250045</v>
      </c>
      <c r="O518" s="228"/>
      <c r="P518" s="227">
        <v>0</v>
      </c>
      <c r="Q518" s="226">
        <f>P518*'DADOS BASE'!$I$33</f>
        <v>0</v>
      </c>
      <c r="R518" s="226"/>
      <c r="S518" s="227">
        <v>1.7250000000000001</v>
      </c>
      <c r="T518" s="226">
        <f>S518*'DADOS BASE'!$I$37</f>
        <v>1358.9358604348026</v>
      </c>
      <c r="U518" s="226"/>
      <c r="V518" s="226">
        <f t="shared" si="356"/>
        <v>1358.9358604348026</v>
      </c>
      <c r="W518" s="228"/>
      <c r="X518" s="226"/>
      <c r="Y518" s="226"/>
      <c r="Z518" s="224"/>
      <c r="AA518" s="226"/>
      <c r="AB518" s="226"/>
      <c r="AC518" s="226"/>
      <c r="AD518" s="226"/>
      <c r="AE518" s="227">
        <v>1360</v>
      </c>
      <c r="AF518" s="227">
        <v>1083.9309404358</v>
      </c>
      <c r="AG518" s="226" t="s">
        <v>155</v>
      </c>
      <c r="AH518" s="229">
        <v>0.79900000000000004</v>
      </c>
      <c r="AI518" s="225">
        <f t="shared" si="357"/>
        <v>866.06082140820433</v>
      </c>
      <c r="AJ518" s="226">
        <f t="shared" si="358"/>
        <v>0.10341649541757046</v>
      </c>
      <c r="AK518" s="226"/>
      <c r="AL518" s="226">
        <f t="shared" si="359"/>
        <v>161.09487333290971</v>
      </c>
      <c r="AM518" s="228">
        <f t="shared" si="360"/>
        <v>174615.7175511269</v>
      </c>
      <c r="AN518" s="226"/>
      <c r="AO518" s="227">
        <v>0.89855875831485998</v>
      </c>
      <c r="AP518" s="225"/>
      <c r="AQ518" s="226">
        <f t="shared" si="361"/>
        <v>973.97563993705091</v>
      </c>
      <c r="AR518" s="226">
        <f t="shared" si="362"/>
        <v>1.0362999918348639E-3</v>
      </c>
      <c r="AS518" s="228">
        <f>AR518*'DADOS BASE'!W$38</f>
        <v>310863.84931562969</v>
      </c>
      <c r="AT518" s="225"/>
      <c r="AU518" s="227">
        <v>1.7250000000000001</v>
      </c>
      <c r="AV518" s="227">
        <v>13.5</v>
      </c>
      <c r="AW518" s="226">
        <f t="shared" si="363"/>
        <v>0.43125000000000002</v>
      </c>
      <c r="AX518" s="226">
        <f>IF($AW$11&gt;0,(AW518/$AW$11)*'DADOS BASE'!W$40,0)</f>
        <v>77.485436403576202</v>
      </c>
      <c r="AY518" s="226">
        <f t="shared" si="364"/>
        <v>0.38750346452328338</v>
      </c>
      <c r="AZ518" s="226">
        <f t="shared" si="365"/>
        <v>2.0266553443304859E-5</v>
      </c>
      <c r="BA518" s="226">
        <f>AZ518*'DADOS BASE'!W$41</f>
        <v>149.72633326164467</v>
      </c>
      <c r="BB518" s="225"/>
      <c r="BC518" s="227">
        <v>0</v>
      </c>
      <c r="BD518" s="226">
        <f>IF($BC$11&gt;0,(BC518/$BC$11)*'DADOS BASE'!W$39,0)</f>
        <v>0</v>
      </c>
      <c r="BE518" s="187"/>
    </row>
    <row r="519" spans="2:57" x14ac:dyDescent="0.3">
      <c r="B519" s="184" t="s">
        <v>608</v>
      </c>
      <c r="C519" s="184" t="s">
        <v>623</v>
      </c>
      <c r="D519" s="184" t="s">
        <v>94</v>
      </c>
      <c r="E519" s="184">
        <v>2016</v>
      </c>
      <c r="F519" s="185"/>
      <c r="H519" s="186">
        <f ca="1">IF(AND(E519&gt;=2018,SUMIF('DADOS BASE'!$C$101:$D$104,D519,'DADOS BASE'!$H$101:$H$104)&gt;J519),
SUMIF('DADOS BASE'!$C$101:$D$104,D519,'DADOS BASE'!$H$101:$H$104),
J519)</f>
        <v>843067.29188463488</v>
      </c>
      <c r="J519" s="186">
        <f t="shared" si="354"/>
        <v>843067.29188463488</v>
      </c>
      <c r="K519" s="186"/>
      <c r="L519" s="188">
        <v>856.13522806627998</v>
      </c>
      <c r="M519" s="186">
        <f t="shared" si="355"/>
        <v>6.6791702838186052E-4</v>
      </c>
      <c r="N519" s="186">
        <f>L519*'DADOS BASE'!$I$29</f>
        <v>843067.29188463488</v>
      </c>
      <c r="O519" s="187"/>
      <c r="P519" s="188">
        <v>0</v>
      </c>
      <c r="Q519" s="186">
        <f>P519*'DADOS BASE'!$I$33</f>
        <v>0</v>
      </c>
      <c r="R519" s="186"/>
      <c r="S519" s="188">
        <v>0</v>
      </c>
      <c r="T519" s="186">
        <f>S519*'DADOS BASE'!$I$37</f>
        <v>0</v>
      </c>
      <c r="U519" s="186"/>
      <c r="V519" s="186">
        <f t="shared" si="356"/>
        <v>0</v>
      </c>
      <c r="W519" s="187"/>
      <c r="X519" s="186"/>
      <c r="Y519" s="186"/>
      <c r="Z519" s="185"/>
      <c r="AA519" s="186"/>
      <c r="AB519" s="186"/>
      <c r="AC519" s="186"/>
      <c r="AD519" s="186"/>
      <c r="AE519" s="188">
        <v>518</v>
      </c>
      <c r="AF519" s="188">
        <v>428.06761403313999</v>
      </c>
      <c r="AG519" s="186" t="s">
        <v>155</v>
      </c>
      <c r="AH519" s="189">
        <v>0.79900000000000004</v>
      </c>
      <c r="AI519" s="183">
        <f t="shared" si="357"/>
        <v>342.02602361247887</v>
      </c>
      <c r="AJ519" s="186">
        <f t="shared" si="358"/>
        <v>0.10341649541757046</v>
      </c>
      <c r="AK519" s="186"/>
      <c r="AL519" s="186">
        <f t="shared" si="359"/>
        <v>161.09487333290971</v>
      </c>
      <c r="AM519" s="187">
        <f t="shared" si="360"/>
        <v>68959.498060589569</v>
      </c>
      <c r="AN519" s="186"/>
      <c r="AO519" s="188">
        <v>0.83664772727272996</v>
      </c>
      <c r="AQ519" s="186">
        <f t="shared" si="361"/>
        <v>358.14179639988674</v>
      </c>
      <c r="AR519" s="186">
        <f t="shared" si="362"/>
        <v>3.8105916150933043E-4</v>
      </c>
      <c r="AS519" s="187">
        <f>AR519*'DADOS BASE'!W$38</f>
        <v>114308.13345278217</v>
      </c>
      <c r="AU519" s="188">
        <v>0</v>
      </c>
      <c r="AV519" s="188">
        <v>0</v>
      </c>
      <c r="AW519" s="186">
        <f t="shared" si="363"/>
        <v>0</v>
      </c>
      <c r="AX519" s="186">
        <f>IF($AW$11&gt;0,(AW519/$AW$11)*'DADOS BASE'!W$40,0)</f>
        <v>0</v>
      </c>
      <c r="AY519" s="186">
        <f t="shared" si="364"/>
        <v>0</v>
      </c>
      <c r="AZ519" s="186">
        <f t="shared" si="365"/>
        <v>0</v>
      </c>
      <c r="BA519" s="186">
        <f>AZ519*'DADOS BASE'!W$41</f>
        <v>0</v>
      </c>
      <c r="BC519" s="188">
        <v>0</v>
      </c>
      <c r="BD519" s="186">
        <f>IF($BC$11&gt;0,(BC519/$BC$11)*'DADOS BASE'!W$39,0)</f>
        <v>0</v>
      </c>
      <c r="BE519" s="187"/>
    </row>
    <row r="520" spans="2:57" x14ac:dyDescent="0.3">
      <c r="B520" s="223" t="s">
        <v>608</v>
      </c>
      <c r="C520" s="223" t="s">
        <v>624</v>
      </c>
      <c r="D520" s="223" t="s">
        <v>94</v>
      </c>
      <c r="E520" s="223">
        <v>2016</v>
      </c>
      <c r="F520" s="224"/>
      <c r="G520" s="225"/>
      <c r="H520" s="226">
        <f ca="1">IF(AND(E520&gt;=2018,SUMIF('DADOS BASE'!$C$101:$D$104,D520,'DADOS BASE'!$H$101:$H$104)&gt;J520),
SUMIF('DADOS BASE'!$C$101:$D$104,D520,'DADOS BASE'!$H$101:$H$104),
J520)</f>
        <v>1811328.1403565314</v>
      </c>
      <c r="I520" s="225"/>
      <c r="J520" s="226">
        <f t="shared" si="354"/>
        <v>1811328.1403565314</v>
      </c>
      <c r="K520" s="226"/>
      <c r="L520" s="227">
        <v>1815.9183212298999</v>
      </c>
      <c r="M520" s="226">
        <f t="shared" si="355"/>
        <v>1.4166953176772596E-3</v>
      </c>
      <c r="N520" s="226">
        <f>L520*'DADOS BASE'!$I$29</f>
        <v>1788200.3814057074</v>
      </c>
      <c r="O520" s="228"/>
      <c r="P520" s="227">
        <v>0</v>
      </c>
      <c r="Q520" s="226">
        <f>P520*'DADOS BASE'!$I$33</f>
        <v>0</v>
      </c>
      <c r="R520" s="226"/>
      <c r="S520" s="227">
        <v>29.357812500000001</v>
      </c>
      <c r="T520" s="226">
        <f>S520*'DADOS BASE'!$I$37</f>
        <v>23127.758950823827</v>
      </c>
      <c r="U520" s="226"/>
      <c r="V520" s="226">
        <f t="shared" si="356"/>
        <v>23127.758950823827</v>
      </c>
      <c r="W520" s="228"/>
      <c r="X520" s="226"/>
      <c r="Y520" s="226"/>
      <c r="Z520" s="224"/>
      <c r="AA520" s="226"/>
      <c r="AB520" s="226"/>
      <c r="AC520" s="226"/>
      <c r="AD520" s="226"/>
      <c r="AE520" s="227">
        <v>1649</v>
      </c>
      <c r="AF520" s="227">
        <v>1216.7690323351001</v>
      </c>
      <c r="AG520" s="226" t="s">
        <v>155</v>
      </c>
      <c r="AH520" s="229">
        <v>0.79900000000000004</v>
      </c>
      <c r="AI520" s="225">
        <f t="shared" si="357"/>
        <v>972.19845683574499</v>
      </c>
      <c r="AJ520" s="226">
        <f t="shared" si="358"/>
        <v>0.10341649541757046</v>
      </c>
      <c r="AK520" s="226"/>
      <c r="AL520" s="226">
        <f t="shared" si="359"/>
        <v>161.09487333290971</v>
      </c>
      <c r="AM520" s="228">
        <f t="shared" si="360"/>
        <v>196015.25313943007</v>
      </c>
      <c r="AN520" s="226"/>
      <c r="AO520" s="227">
        <v>0.91731770833333004</v>
      </c>
      <c r="AP520" s="225"/>
      <c r="AQ520" s="226">
        <f t="shared" si="361"/>
        <v>1116.1637803125975</v>
      </c>
      <c r="AR520" s="226">
        <f t="shared" si="362"/>
        <v>1.1875867003193973E-3</v>
      </c>
      <c r="AS520" s="228">
        <f>AR520*'DADOS BASE'!W$38</f>
        <v>356246.04454900365</v>
      </c>
      <c r="AT520" s="225"/>
      <c r="AU520" s="227">
        <v>29.357812500000001</v>
      </c>
      <c r="AV520" s="227">
        <v>189.75</v>
      </c>
      <c r="AW520" s="226">
        <f t="shared" si="363"/>
        <v>7.3394531250000004</v>
      </c>
      <c r="AX520" s="226">
        <f>IF($AW$11&gt;0,(AW520/$AW$11)*'DADOS BASE'!W$40,0)</f>
        <v>1318.7263266184721</v>
      </c>
      <c r="AY520" s="226">
        <f t="shared" si="364"/>
        <v>6.7326103210448984</v>
      </c>
      <c r="AZ520" s="226">
        <f t="shared" si="365"/>
        <v>3.5211764377968249E-4</v>
      </c>
      <c r="BA520" s="226">
        <f>AZ520*'DADOS BASE'!W$41</f>
        <v>2601.3936620919885</v>
      </c>
      <c r="BB520" s="225"/>
      <c r="BC520" s="227">
        <v>0</v>
      </c>
      <c r="BD520" s="226">
        <f>IF($BC$11&gt;0,(BC520/$BC$11)*'DADOS BASE'!W$39,0)</f>
        <v>0</v>
      </c>
      <c r="BE520" s="187"/>
    </row>
    <row r="521" spans="2:57" x14ac:dyDescent="0.3">
      <c r="B521" s="184" t="s">
        <v>608</v>
      </c>
      <c r="C521" s="184" t="s">
        <v>625</v>
      </c>
      <c r="D521" s="184" t="s">
        <v>94</v>
      </c>
      <c r="E521" s="184">
        <v>2016</v>
      </c>
      <c r="F521" s="185"/>
      <c r="H521" s="186">
        <f ca="1">IF(AND(E521&gt;=2018,SUMIF('DADOS BASE'!$C$101:$D$104,D521,'DADOS BASE'!$H$101:$H$104)&gt;J521),
SUMIF('DADOS BASE'!$C$101:$D$104,D521,'DADOS BASE'!$H$101:$H$104),
J521)</f>
        <v>764941.66426230886</v>
      </c>
      <c r="J521" s="186">
        <f t="shared" si="354"/>
        <v>764941.66426230886</v>
      </c>
      <c r="K521" s="186"/>
      <c r="L521" s="188">
        <v>776.79861678256998</v>
      </c>
      <c r="M521" s="186">
        <f t="shared" si="355"/>
        <v>6.0602228101795468E-4</v>
      </c>
      <c r="N521" s="186">
        <f>L521*'DADOS BASE'!$I$29</f>
        <v>764941.66426230886</v>
      </c>
      <c r="O521" s="187"/>
      <c r="P521" s="188">
        <v>0</v>
      </c>
      <c r="Q521" s="186">
        <f>P521*'DADOS BASE'!$I$33</f>
        <v>0</v>
      </c>
      <c r="R521" s="186"/>
      <c r="S521" s="188">
        <v>0</v>
      </c>
      <c r="T521" s="186">
        <f>S521*'DADOS BASE'!$I$37</f>
        <v>0</v>
      </c>
      <c r="U521" s="186"/>
      <c r="V521" s="186">
        <f t="shared" si="356"/>
        <v>0</v>
      </c>
      <c r="W521" s="187"/>
      <c r="X521" s="186"/>
      <c r="Y521" s="186"/>
      <c r="Z521" s="185"/>
      <c r="AA521" s="186"/>
      <c r="AB521" s="186"/>
      <c r="AC521" s="186"/>
      <c r="AD521" s="186"/>
      <c r="AE521" s="188">
        <v>786</v>
      </c>
      <c r="AF521" s="188">
        <v>502.93091384872997</v>
      </c>
      <c r="AG521" s="186" t="s">
        <v>155</v>
      </c>
      <c r="AH521" s="189">
        <v>0.83699999999999997</v>
      </c>
      <c r="AI521" s="183">
        <f t="shared" si="357"/>
        <v>420.95317489138699</v>
      </c>
      <c r="AJ521" s="186">
        <f t="shared" si="358"/>
        <v>0.15467066981460276</v>
      </c>
      <c r="AK521" s="186"/>
      <c r="AL521" s="186">
        <f t="shared" si="359"/>
        <v>151.88570911109164</v>
      </c>
      <c r="AM521" s="187">
        <f t="shared" si="360"/>
        <v>76388.018483803695</v>
      </c>
      <c r="AN521" s="186"/>
      <c r="AO521" s="188">
        <v>1.2891566265059999</v>
      </c>
      <c r="AQ521" s="186">
        <f t="shared" si="361"/>
        <v>648.35672026280838</v>
      </c>
      <c r="AR521" s="186">
        <f t="shared" si="362"/>
        <v>6.8984483426900967E-4</v>
      </c>
      <c r="AS521" s="187">
        <f>AR521*'DADOS BASE'!W$38</f>
        <v>206936.0439071967</v>
      </c>
      <c r="AU521" s="188">
        <v>0</v>
      </c>
      <c r="AV521" s="188">
        <v>0</v>
      </c>
      <c r="AW521" s="186">
        <f t="shared" si="363"/>
        <v>0</v>
      </c>
      <c r="AX521" s="186">
        <f>IF($AW$11&gt;0,(AW521/$AW$11)*'DADOS BASE'!W$40,0)</f>
        <v>0</v>
      </c>
      <c r="AY521" s="186">
        <f t="shared" si="364"/>
        <v>0</v>
      </c>
      <c r="AZ521" s="186">
        <f t="shared" si="365"/>
        <v>0</v>
      </c>
      <c r="BA521" s="186">
        <f>AZ521*'DADOS BASE'!W$41</f>
        <v>0</v>
      </c>
      <c r="BC521" s="188">
        <v>0</v>
      </c>
      <c r="BD521" s="186">
        <f>IF($BC$11&gt;0,(BC521/$BC$11)*'DADOS BASE'!W$39,0)</f>
        <v>0</v>
      </c>
      <c r="BE521" s="187"/>
    </row>
    <row r="522" spans="2:57" x14ac:dyDescent="0.3">
      <c r="B522" s="223" t="s">
        <v>608</v>
      </c>
      <c r="C522" s="223" t="s">
        <v>626</v>
      </c>
      <c r="D522" s="223" t="s">
        <v>94</v>
      </c>
      <c r="E522" s="223">
        <v>2016</v>
      </c>
      <c r="F522" s="224"/>
      <c r="G522" s="225"/>
      <c r="H522" s="226">
        <f ca="1">IF(AND(E522&gt;=2018,SUMIF('DADOS BASE'!$C$101:$D$104,D522,'DADOS BASE'!$H$101:$H$104)&gt;J522),
SUMIF('DADOS BASE'!$C$101:$D$104,D522,'DADOS BASE'!$H$101:$H$104),
J522)</f>
        <v>691100.080050866</v>
      </c>
      <c r="I522" s="225"/>
      <c r="J522" s="226">
        <f t="shared" si="354"/>
        <v>691100.080050866</v>
      </c>
      <c r="K522" s="226"/>
      <c r="L522" s="227">
        <v>701.81245358043998</v>
      </c>
      <c r="M522" s="226">
        <f t="shared" si="355"/>
        <v>5.4752155163102366E-4</v>
      </c>
      <c r="N522" s="226">
        <f>L522*'DADOS BASE'!$I$29</f>
        <v>691100.080050866</v>
      </c>
      <c r="O522" s="228"/>
      <c r="P522" s="227">
        <v>0</v>
      </c>
      <c r="Q522" s="226">
        <f>P522*'DADOS BASE'!$I$33</f>
        <v>0</v>
      </c>
      <c r="R522" s="226"/>
      <c r="S522" s="227">
        <v>0</v>
      </c>
      <c r="T522" s="226">
        <f>S522*'DADOS BASE'!$I$37</f>
        <v>0</v>
      </c>
      <c r="U522" s="226"/>
      <c r="V522" s="226">
        <f t="shared" si="356"/>
        <v>0</v>
      </c>
      <c r="W522" s="228"/>
      <c r="X522" s="226"/>
      <c r="Y522" s="226"/>
      <c r="Z522" s="224"/>
      <c r="AA522" s="226"/>
      <c r="AB522" s="226"/>
      <c r="AC522" s="226"/>
      <c r="AD522" s="226"/>
      <c r="AE522" s="227">
        <v>415</v>
      </c>
      <c r="AF522" s="227">
        <v>350.90622679021999</v>
      </c>
      <c r="AG522" s="226" t="s">
        <v>155</v>
      </c>
      <c r="AH522" s="229">
        <v>0.79900000000000004</v>
      </c>
      <c r="AI522" s="225">
        <f t="shared" si="357"/>
        <v>280.37407520538579</v>
      </c>
      <c r="AJ522" s="226">
        <f t="shared" si="358"/>
        <v>0.10341649541757046</v>
      </c>
      <c r="AK522" s="226"/>
      <c r="AL522" s="226">
        <f t="shared" si="359"/>
        <v>161.09487333290971</v>
      </c>
      <c r="AM522" s="228">
        <f t="shared" si="360"/>
        <v>56529.194156499776</v>
      </c>
      <c r="AN522" s="226"/>
      <c r="AO522" s="227">
        <v>1.1783216783217001</v>
      </c>
      <c r="AP522" s="225"/>
      <c r="AQ522" s="226">
        <f t="shared" si="361"/>
        <v>413.48041408498716</v>
      </c>
      <c r="AR522" s="226">
        <f t="shared" si="362"/>
        <v>4.3993887749373497E-4</v>
      </c>
      <c r="AS522" s="228">
        <f>AR522*'DADOS BASE'!W$38</f>
        <v>131970.56257730129</v>
      </c>
      <c r="AT522" s="225"/>
      <c r="AU522" s="227">
        <v>0</v>
      </c>
      <c r="AV522" s="227">
        <v>0</v>
      </c>
      <c r="AW522" s="226">
        <f t="shared" si="363"/>
        <v>0</v>
      </c>
      <c r="AX522" s="226">
        <f>IF($AW$11&gt;0,(AW522/$AW$11)*'DADOS BASE'!W$40,0)</f>
        <v>0</v>
      </c>
      <c r="AY522" s="226">
        <f t="shared" si="364"/>
        <v>0</v>
      </c>
      <c r="AZ522" s="226">
        <f t="shared" si="365"/>
        <v>0</v>
      </c>
      <c r="BA522" s="226">
        <f>AZ522*'DADOS BASE'!W$41</f>
        <v>0</v>
      </c>
      <c r="BB522" s="225"/>
      <c r="BC522" s="227">
        <v>0</v>
      </c>
      <c r="BD522" s="226">
        <f>IF($BC$11&gt;0,(BC522/$BC$11)*'DADOS BASE'!W$39,0)</f>
        <v>0</v>
      </c>
      <c r="BE522" s="187"/>
    </row>
    <row r="523" spans="2:57" x14ac:dyDescent="0.3">
      <c r="B523" s="184" t="s">
        <v>608</v>
      </c>
      <c r="C523" s="184" t="s">
        <v>627</v>
      </c>
      <c r="D523" s="184" t="s">
        <v>94</v>
      </c>
      <c r="E523" s="184">
        <v>2016</v>
      </c>
      <c r="F523" s="185"/>
      <c r="H523" s="186">
        <f ca="1">IF(AND(E523&gt;=2018,SUMIF('DADOS BASE'!$C$101:$D$104,D523,'DADOS BASE'!$H$101:$H$104)&gt;J523),
SUMIF('DADOS BASE'!$C$101:$D$104,D523,'DADOS BASE'!$H$101:$H$104),
J523)</f>
        <v>3104163.1128202528</v>
      </c>
      <c r="J523" s="186">
        <f t="shared" si="354"/>
        <v>3104163.1128202528</v>
      </c>
      <c r="K523" s="186"/>
      <c r="L523" s="188">
        <v>3143.7955470030001</v>
      </c>
      <c r="M523" s="186">
        <f t="shared" si="355"/>
        <v>2.4526435903555748E-3</v>
      </c>
      <c r="N523" s="186">
        <f>L523*'DADOS BASE'!$I$29</f>
        <v>3095809.0628243643</v>
      </c>
      <c r="O523" s="187"/>
      <c r="P523" s="188">
        <v>0</v>
      </c>
      <c r="Q523" s="186">
        <f>P523*'DADOS BASE'!$I$33</f>
        <v>0</v>
      </c>
      <c r="R523" s="186"/>
      <c r="S523" s="188">
        <v>10.604427083333</v>
      </c>
      <c r="T523" s="186">
        <f>S523*'DADOS BASE'!$I$37</f>
        <v>8354.0499958882629</v>
      </c>
      <c r="U523" s="186"/>
      <c r="V523" s="186">
        <f t="shared" si="356"/>
        <v>8354.0499958882629</v>
      </c>
      <c r="W523" s="187"/>
      <c r="X523" s="186"/>
      <c r="Y523" s="186"/>
      <c r="Z523" s="185"/>
      <c r="AA523" s="186"/>
      <c r="AB523" s="186"/>
      <c r="AC523" s="186"/>
      <c r="AD523" s="186"/>
      <c r="AE523" s="188">
        <v>2453</v>
      </c>
      <c r="AF523" s="188">
        <v>1794.3644647004</v>
      </c>
      <c r="AG523" s="186" t="s">
        <v>155</v>
      </c>
      <c r="AH523" s="189">
        <v>0.79900000000000004</v>
      </c>
      <c r="AI523" s="183">
        <f t="shared" si="357"/>
        <v>1433.6972072956198</v>
      </c>
      <c r="AJ523" s="186">
        <f t="shared" si="358"/>
        <v>0.10341649541757046</v>
      </c>
      <c r="AK523" s="186"/>
      <c r="AL523" s="186">
        <f t="shared" si="359"/>
        <v>161.09487333290971</v>
      </c>
      <c r="AM523" s="187">
        <f t="shared" si="360"/>
        <v>289062.91615398531</v>
      </c>
      <c r="AN523" s="186"/>
      <c r="AO523" s="188">
        <v>1.2424706482898999</v>
      </c>
      <c r="AQ523" s="186">
        <f t="shared" si="361"/>
        <v>2229.4451797246652</v>
      </c>
      <c r="AR523" s="186">
        <f t="shared" si="362"/>
        <v>2.3721065772181627E-3</v>
      </c>
      <c r="AS523" s="187">
        <f>AR523*'DADOS BASE'!W$38</f>
        <v>711572.1194548338</v>
      </c>
      <c r="AU523" s="188">
        <v>10.604427083333</v>
      </c>
      <c r="AV523" s="188">
        <v>83.5</v>
      </c>
      <c r="AW523" s="186">
        <f t="shared" si="363"/>
        <v>2.6511067708332501</v>
      </c>
      <c r="AX523" s="186">
        <f>IF($AW$11&gt;0,(AW523/$AW$11)*'DADOS BASE'!W$40,0)</f>
        <v>476.34125238374503</v>
      </c>
      <c r="AY523" s="186">
        <f t="shared" si="364"/>
        <v>3.2939223482429316</v>
      </c>
      <c r="AZ523" s="186">
        <f t="shared" si="365"/>
        <v>1.7227317797245272E-4</v>
      </c>
      <c r="BA523" s="186">
        <f>AZ523*'DADOS BASE'!W$41</f>
        <v>1272.7290473589223</v>
      </c>
      <c r="BC523" s="188">
        <v>0</v>
      </c>
      <c r="BD523" s="186">
        <f>IF($BC$11&gt;0,(BC523/$BC$11)*'DADOS BASE'!W$39,0)</f>
        <v>0</v>
      </c>
      <c r="BE523" s="187"/>
    </row>
    <row r="524" spans="2:57" x14ac:dyDescent="0.3">
      <c r="B524" s="223" t="s">
        <v>608</v>
      </c>
      <c r="C524" s="223" t="s">
        <v>628</v>
      </c>
      <c r="D524" s="223" t="s">
        <v>94</v>
      </c>
      <c r="E524" s="223">
        <v>2016</v>
      </c>
      <c r="F524" s="224"/>
      <c r="G524" s="225"/>
      <c r="H524" s="226">
        <f ca="1">IF(AND(E524&gt;=2018,SUMIF('DADOS BASE'!$C$101:$D$104,D524,'DADOS BASE'!$H$101:$H$104)&gt;J524),
SUMIF('DADOS BASE'!$C$101:$D$104,D524,'DADOS BASE'!$H$101:$H$104),
J524)</f>
        <v>1574359.4623552274</v>
      </c>
      <c r="I524" s="225"/>
      <c r="J524" s="226">
        <f t="shared" si="354"/>
        <v>1574359.4623552274</v>
      </c>
      <c r="K524" s="226"/>
      <c r="L524" s="227">
        <v>1594.5627682111999</v>
      </c>
      <c r="M524" s="226">
        <f t="shared" si="355"/>
        <v>1.244003973668428E-3</v>
      </c>
      <c r="N524" s="226">
        <f>L524*'DADOS BASE'!$I$29</f>
        <v>1570223.570606078</v>
      </c>
      <c r="O524" s="228"/>
      <c r="P524" s="227">
        <v>0</v>
      </c>
      <c r="Q524" s="226">
        <f>P524*'DADOS BASE'!$I$33</f>
        <v>0</v>
      </c>
      <c r="R524" s="226"/>
      <c r="S524" s="227">
        <v>5.25</v>
      </c>
      <c r="T524" s="226">
        <f>S524*'DADOS BASE'!$I$37</f>
        <v>4135.8917491493994</v>
      </c>
      <c r="U524" s="226"/>
      <c r="V524" s="226">
        <f t="shared" si="356"/>
        <v>4135.8917491493994</v>
      </c>
      <c r="W524" s="228"/>
      <c r="X524" s="226"/>
      <c r="Y524" s="226"/>
      <c r="Z524" s="224"/>
      <c r="AA524" s="226"/>
      <c r="AB524" s="226"/>
      <c r="AC524" s="226"/>
      <c r="AD524" s="226"/>
      <c r="AE524" s="227">
        <v>991</v>
      </c>
      <c r="AF524" s="227">
        <v>797.28138410557995</v>
      </c>
      <c r="AG524" s="226" t="s">
        <v>155</v>
      </c>
      <c r="AH524" s="229">
        <v>0.79900000000000004</v>
      </c>
      <c r="AI524" s="225">
        <f t="shared" si="357"/>
        <v>637.02782590035838</v>
      </c>
      <c r="AJ524" s="226">
        <f t="shared" si="358"/>
        <v>0.10341649541757046</v>
      </c>
      <c r="AK524" s="226"/>
      <c r="AL524" s="226">
        <f t="shared" si="359"/>
        <v>161.09487333290971</v>
      </c>
      <c r="AM524" s="228">
        <f t="shared" si="360"/>
        <v>128437.94358317534</v>
      </c>
      <c r="AN524" s="226"/>
      <c r="AO524" s="227">
        <v>1.1085858585859001</v>
      </c>
      <c r="AP524" s="225"/>
      <c r="AQ524" s="226">
        <f t="shared" si="361"/>
        <v>883.85486773323919</v>
      </c>
      <c r="AR524" s="226">
        <f t="shared" si="362"/>
        <v>9.404124237381939E-4</v>
      </c>
      <c r="AS524" s="228">
        <f>AR524*'DADOS BASE'!W$38</f>
        <v>282099.99835074873</v>
      </c>
      <c r="AT524" s="225"/>
      <c r="AU524" s="227">
        <v>5.25</v>
      </c>
      <c r="AV524" s="227">
        <v>52.5</v>
      </c>
      <c r="AW524" s="226">
        <f t="shared" si="363"/>
        <v>1.3125</v>
      </c>
      <c r="AX524" s="226">
        <f>IF($AW$11&gt;0,(AW524/$AW$11)*'DADOS BASE'!W$40,0)</f>
        <v>235.82524122827539</v>
      </c>
      <c r="AY524" s="226">
        <f t="shared" si="364"/>
        <v>1.4550189393939938</v>
      </c>
      <c r="AZ524" s="226">
        <f t="shared" si="365"/>
        <v>7.6097949556467296E-5</v>
      </c>
      <c r="BA524" s="226">
        <f>AZ524*'DADOS BASE'!W$41</f>
        <v>562.2005235223387</v>
      </c>
      <c r="BB524" s="225"/>
      <c r="BC524" s="227">
        <v>0</v>
      </c>
      <c r="BD524" s="226">
        <f>IF($BC$11&gt;0,(BC524/$BC$11)*'DADOS BASE'!W$39,0)</f>
        <v>0</v>
      </c>
      <c r="BE524" s="187"/>
    </row>
    <row r="525" spans="2:57" x14ac:dyDescent="0.3">
      <c r="B525" s="184" t="s">
        <v>608</v>
      </c>
      <c r="C525" s="184" t="s">
        <v>629</v>
      </c>
      <c r="D525" s="184" t="s">
        <v>94</v>
      </c>
      <c r="E525" s="184">
        <v>2016</v>
      </c>
      <c r="F525" s="185"/>
      <c r="H525" s="186">
        <f ca="1">IF(AND(E525&gt;=2018,SUMIF('DADOS BASE'!$C$101:$D$104,D525,'DADOS BASE'!$H$101:$H$104)&gt;J525),
SUMIF('DADOS BASE'!$C$101:$D$104,D525,'DADOS BASE'!$H$101:$H$104),
J525)</f>
        <v>1686644.0710244703</v>
      </c>
      <c r="J525" s="186">
        <f t="shared" si="354"/>
        <v>1686644.0710244703</v>
      </c>
      <c r="K525" s="186"/>
      <c r="L525" s="188">
        <v>1705.3596439564999</v>
      </c>
      <c r="M525" s="186">
        <f t="shared" si="355"/>
        <v>1.3304425613772214E-3</v>
      </c>
      <c r="N525" s="186">
        <f>L525*'DADOS BASE'!$I$29</f>
        <v>1679329.2573266772</v>
      </c>
      <c r="O525" s="187"/>
      <c r="P525" s="188">
        <v>0</v>
      </c>
      <c r="Q525" s="186">
        <f>P525*'DADOS BASE'!$I$33</f>
        <v>0</v>
      </c>
      <c r="R525" s="186"/>
      <c r="S525" s="188">
        <v>9.2852459016392999</v>
      </c>
      <c r="T525" s="186">
        <f>S525*'DADOS BASE'!$I$37</f>
        <v>7314.8136977930008</v>
      </c>
      <c r="U525" s="186"/>
      <c r="V525" s="186">
        <f t="shared" si="356"/>
        <v>7314.8136977930008</v>
      </c>
      <c r="W525" s="187"/>
      <c r="X525" s="186"/>
      <c r="Y525" s="186"/>
      <c r="Z525" s="185"/>
      <c r="AA525" s="186"/>
      <c r="AB525" s="186"/>
      <c r="AC525" s="186"/>
      <c r="AD525" s="186"/>
      <c r="AE525" s="188">
        <v>1496</v>
      </c>
      <c r="AF525" s="188">
        <v>1131.4366508232999</v>
      </c>
      <c r="AG525" s="186" t="s">
        <v>155</v>
      </c>
      <c r="AH525" s="189">
        <v>0.79900000000000004</v>
      </c>
      <c r="AI525" s="183">
        <f t="shared" si="357"/>
        <v>904.01788400781675</v>
      </c>
      <c r="AJ525" s="186">
        <f t="shared" si="358"/>
        <v>0.10341649541757046</v>
      </c>
      <c r="AK525" s="186"/>
      <c r="AL525" s="186">
        <f t="shared" si="359"/>
        <v>161.09487333290971</v>
      </c>
      <c r="AM525" s="187">
        <f t="shared" si="360"/>
        <v>182268.64394859111</v>
      </c>
      <c r="AN525" s="186"/>
      <c r="AO525" s="188">
        <v>1.2004381161008</v>
      </c>
      <c r="AQ525" s="186">
        <f t="shared" si="361"/>
        <v>1358.2196816017208</v>
      </c>
      <c r="AR525" s="186">
        <f t="shared" si="362"/>
        <v>1.4451316719222922E-3</v>
      </c>
      <c r="AS525" s="187">
        <f>AR525*'DADOS BASE'!W$38</f>
        <v>433503.03757725254</v>
      </c>
      <c r="AU525" s="188">
        <v>4.6426229508196997</v>
      </c>
      <c r="AV525" s="188">
        <v>8</v>
      </c>
      <c r="AW525" s="186">
        <f t="shared" si="363"/>
        <v>1.1606557377049249</v>
      </c>
      <c r="AX525" s="186">
        <f>IF($AW$11&gt;0,(AW525/$AW$11)*'DADOS BASE'!W$40,0)</f>
        <v>208.54241472552064</v>
      </c>
      <c r="AY525" s="186">
        <f t="shared" si="364"/>
        <v>1.3932953872120843</v>
      </c>
      <c r="AZ525" s="186">
        <f t="shared" si="365"/>
        <v>7.2869788304943508E-5</v>
      </c>
      <c r="BA525" s="186">
        <f>AZ525*'DADOS BASE'!W$41</f>
        <v>538.35134025000229</v>
      </c>
      <c r="BC525" s="188">
        <v>0</v>
      </c>
      <c r="BD525" s="186">
        <f>IF($BC$11&gt;0,(BC525/$BC$11)*'DADOS BASE'!W$39,0)</f>
        <v>0</v>
      </c>
      <c r="BE525" s="187"/>
    </row>
    <row r="526" spans="2:57" x14ac:dyDescent="0.3">
      <c r="B526" s="223" t="s">
        <v>608</v>
      </c>
      <c r="C526" s="223" t="s">
        <v>630</v>
      </c>
      <c r="D526" s="223" t="s">
        <v>94</v>
      </c>
      <c r="E526" s="223">
        <v>2016</v>
      </c>
      <c r="F526" s="224"/>
      <c r="G526" s="225"/>
      <c r="H526" s="226">
        <f ca="1">IF(AND(E526&gt;=2018,SUMIF('DADOS BASE'!$C$101:$D$104,D526,'DADOS BASE'!$H$101:$H$104)&gt;J526),
SUMIF('DADOS BASE'!$C$101:$D$104,D526,'DADOS BASE'!$H$101:$H$104),
J526)</f>
        <v>1539101.3659114961</v>
      </c>
      <c r="I526" s="225"/>
      <c r="J526" s="226">
        <f t="shared" si="354"/>
        <v>1539101.3659114961</v>
      </c>
      <c r="K526" s="226"/>
      <c r="L526" s="227">
        <v>1551.5537454202999</v>
      </c>
      <c r="M526" s="226">
        <f t="shared" si="355"/>
        <v>1.2104503272883007E-3</v>
      </c>
      <c r="N526" s="226">
        <f>L526*'DADOS BASE'!$I$29</f>
        <v>1527871.0319156346</v>
      </c>
      <c r="O526" s="228"/>
      <c r="P526" s="227">
        <v>0</v>
      </c>
      <c r="Q526" s="226">
        <f>P526*'DADOS BASE'!$I$33</f>
        <v>0</v>
      </c>
      <c r="R526" s="226"/>
      <c r="S526" s="227">
        <v>14.255511762463</v>
      </c>
      <c r="T526" s="226">
        <f>S526*'DADOS BASE'!$I$37</f>
        <v>11230.333995861511</v>
      </c>
      <c r="U526" s="226"/>
      <c r="V526" s="226">
        <f t="shared" si="356"/>
        <v>11230.333995861511</v>
      </c>
      <c r="W526" s="228"/>
      <c r="X526" s="226"/>
      <c r="Y526" s="226"/>
      <c r="Z526" s="224"/>
      <c r="AA526" s="226"/>
      <c r="AB526" s="226"/>
      <c r="AC526" s="226"/>
      <c r="AD526" s="226"/>
      <c r="AE526" s="227">
        <v>1608</v>
      </c>
      <c r="AF526" s="227">
        <v>1003.6208675901</v>
      </c>
      <c r="AG526" s="226" t="s">
        <v>155</v>
      </c>
      <c r="AH526" s="229">
        <v>0.79900000000000004</v>
      </c>
      <c r="AI526" s="225">
        <f t="shared" si="357"/>
        <v>801.89307320448995</v>
      </c>
      <c r="AJ526" s="226">
        <f t="shared" si="358"/>
        <v>0.10341649541757046</v>
      </c>
      <c r="AK526" s="226"/>
      <c r="AL526" s="226">
        <f t="shared" si="359"/>
        <v>161.09487333290971</v>
      </c>
      <c r="AM526" s="228">
        <f t="shared" si="360"/>
        <v>161678.17653869212</v>
      </c>
      <c r="AN526" s="226"/>
      <c r="AO526" s="227">
        <v>1.0356394129979001</v>
      </c>
      <c r="AP526" s="225"/>
      <c r="AQ526" s="226">
        <f t="shared" si="361"/>
        <v>1039.3893261834544</v>
      </c>
      <c r="AR526" s="226">
        <f t="shared" si="362"/>
        <v>1.1058994764045372E-3</v>
      </c>
      <c r="AS526" s="228">
        <f>AR526*'DADOS BASE'!W$38</f>
        <v>331741.9385312862</v>
      </c>
      <c r="AT526" s="225"/>
      <c r="AU526" s="227">
        <v>7.1277558812316002</v>
      </c>
      <c r="AV526" s="227">
        <v>13</v>
      </c>
      <c r="AW526" s="226">
        <f t="shared" si="363"/>
        <v>1.7819389703079</v>
      </c>
      <c r="AX526" s="226">
        <f>IF($AW$11&gt;0,(AW526/$AW$11)*'DADOS BASE'!W$40,0)</f>
        <v>320.17233335384776</v>
      </c>
      <c r="AY526" s="226">
        <f t="shared" si="364"/>
        <v>1.845446229207756</v>
      </c>
      <c r="AZ526" s="226">
        <f t="shared" si="365"/>
        <v>9.6517419984866137E-5</v>
      </c>
      <c r="BA526" s="226">
        <f>AZ526*'DADOS BASE'!W$41</f>
        <v>713.05658510881165</v>
      </c>
      <c r="BB526" s="225"/>
      <c r="BC526" s="227">
        <v>0</v>
      </c>
      <c r="BD526" s="226">
        <f>IF($BC$11&gt;0,(BC526/$BC$11)*'DADOS BASE'!W$39,0)</f>
        <v>0</v>
      </c>
      <c r="BE526" s="187"/>
    </row>
    <row r="527" spans="2:57" x14ac:dyDescent="0.3">
      <c r="B527" s="184" t="s">
        <v>608</v>
      </c>
      <c r="C527" s="184" t="s">
        <v>631</v>
      </c>
      <c r="D527" s="184" t="s">
        <v>94</v>
      </c>
      <c r="E527" s="184">
        <v>2016</v>
      </c>
      <c r="F527" s="185"/>
      <c r="H527" s="186">
        <f ca="1">IF(AND(E527&gt;=2018,SUMIF('DADOS BASE'!$C$101:$D$104,D527,'DADOS BASE'!$H$101:$H$104)&gt;J527),
SUMIF('DADOS BASE'!$C$101:$D$104,D527,'DADOS BASE'!$H$101:$H$104),
J527)</f>
        <v>549205.27872886974</v>
      </c>
      <c r="J527" s="186">
        <f t="shared" si="354"/>
        <v>549205.27872886974</v>
      </c>
      <c r="K527" s="186"/>
      <c r="L527" s="188">
        <v>557.71821666648998</v>
      </c>
      <c r="M527" s="186">
        <f t="shared" si="355"/>
        <v>4.3510590586452757E-4</v>
      </c>
      <c r="N527" s="186">
        <f>L527*'DADOS BASE'!$I$29</f>
        <v>549205.27872886974</v>
      </c>
      <c r="O527" s="187"/>
      <c r="P527" s="188">
        <v>0</v>
      </c>
      <c r="Q527" s="186">
        <f>P527*'DADOS BASE'!$I$33</f>
        <v>0</v>
      </c>
      <c r="R527" s="186"/>
      <c r="S527" s="188">
        <v>0</v>
      </c>
      <c r="T527" s="186">
        <f>S527*'DADOS BASE'!$I$37</f>
        <v>0</v>
      </c>
      <c r="U527" s="186"/>
      <c r="V527" s="186">
        <f t="shared" si="356"/>
        <v>0</v>
      </c>
      <c r="W527" s="187"/>
      <c r="X527" s="186"/>
      <c r="Y527" s="186"/>
      <c r="Z527" s="185"/>
      <c r="AA527" s="186"/>
      <c r="AB527" s="186"/>
      <c r="AC527" s="186"/>
      <c r="AD527" s="186"/>
      <c r="AE527" s="188">
        <v>374</v>
      </c>
      <c r="AF527" s="188">
        <v>278.85910833323999</v>
      </c>
      <c r="AG527" s="186" t="s">
        <v>155</v>
      </c>
      <c r="AH527" s="189">
        <v>0.79900000000000004</v>
      </c>
      <c r="AI527" s="183">
        <f t="shared" si="357"/>
        <v>222.80842755825876</v>
      </c>
      <c r="AJ527" s="186">
        <f t="shared" si="358"/>
        <v>0.10341649541757046</v>
      </c>
      <c r="AK527" s="186"/>
      <c r="AL527" s="186">
        <f t="shared" si="359"/>
        <v>161.09487333290971</v>
      </c>
      <c r="AM527" s="187">
        <f t="shared" si="360"/>
        <v>44922.772734671446</v>
      </c>
      <c r="AN527" s="186"/>
      <c r="AO527" s="188">
        <v>0.91617647058824003</v>
      </c>
      <c r="AQ527" s="186">
        <f t="shared" si="361"/>
        <v>255.4841536641315</v>
      </c>
      <c r="AR527" s="186">
        <f t="shared" si="362"/>
        <v>2.7183249303153846E-4</v>
      </c>
      <c r="AS527" s="187">
        <f>AR527*'DADOS BASE'!W$38</f>
        <v>81542.88894977991</v>
      </c>
      <c r="AU527" s="188">
        <v>0</v>
      </c>
      <c r="AV527" s="188">
        <v>0</v>
      </c>
      <c r="AW527" s="186">
        <f t="shared" si="363"/>
        <v>0</v>
      </c>
      <c r="AX527" s="186">
        <f>IF($AW$11&gt;0,(AW527/$AW$11)*'DADOS BASE'!W$40,0)</f>
        <v>0</v>
      </c>
      <c r="AY527" s="186">
        <f t="shared" si="364"/>
        <v>0</v>
      </c>
      <c r="AZ527" s="186">
        <f t="shared" si="365"/>
        <v>0</v>
      </c>
      <c r="BA527" s="186">
        <f>AZ527*'DADOS BASE'!W$41</f>
        <v>0</v>
      </c>
      <c r="BC527" s="188">
        <v>0</v>
      </c>
      <c r="BD527" s="186">
        <f>IF($BC$11&gt;0,(BC527/$BC$11)*'DADOS BASE'!W$39,0)</f>
        <v>0</v>
      </c>
      <c r="BE527" s="187"/>
    </row>
    <row r="528" spans="2:57" x14ac:dyDescent="0.3">
      <c r="B528" s="223" t="s">
        <v>608</v>
      </c>
      <c r="C528" s="223" t="s">
        <v>632</v>
      </c>
      <c r="D528" s="223" t="s">
        <v>94</v>
      </c>
      <c r="E528" s="223">
        <v>2016</v>
      </c>
      <c r="F528" s="224"/>
      <c r="G528" s="225"/>
      <c r="H528" s="226">
        <f ca="1">IF(AND(E528&gt;=2018,SUMIF('DADOS BASE'!$C$101:$D$104,D528,'DADOS BASE'!$H$101:$H$104)&gt;J528),
SUMIF('DADOS BASE'!$C$101:$D$104,D528,'DADOS BASE'!$H$101:$H$104),
J528)</f>
        <v>1939754.7001328385</v>
      </c>
      <c r="I528" s="225"/>
      <c r="J528" s="226">
        <f t="shared" si="354"/>
        <v>1939754.7001328385</v>
      </c>
      <c r="K528" s="226"/>
      <c r="L528" s="227">
        <v>1969.1178025734</v>
      </c>
      <c r="M528" s="226">
        <f t="shared" si="355"/>
        <v>1.5362144531761099E-3</v>
      </c>
      <c r="N528" s="226">
        <f>L528*'DADOS BASE'!$I$29</f>
        <v>1939061.4458967906</v>
      </c>
      <c r="O528" s="228"/>
      <c r="P528" s="227">
        <v>0</v>
      </c>
      <c r="Q528" s="226">
        <f>P528*'DADOS BASE'!$I$33</f>
        <v>0</v>
      </c>
      <c r="R528" s="226"/>
      <c r="S528" s="227">
        <v>0.88</v>
      </c>
      <c r="T528" s="226">
        <f>S528*'DADOS BASE'!$I$37</f>
        <v>693.25423604789933</v>
      </c>
      <c r="U528" s="226"/>
      <c r="V528" s="226">
        <f t="shared" si="356"/>
        <v>693.25423604789933</v>
      </c>
      <c r="W528" s="228"/>
      <c r="X528" s="226"/>
      <c r="Y528" s="226"/>
      <c r="Z528" s="224"/>
      <c r="AA528" s="226"/>
      <c r="AB528" s="226"/>
      <c r="AC528" s="226"/>
      <c r="AD528" s="226"/>
      <c r="AE528" s="227">
        <v>1604</v>
      </c>
      <c r="AF528" s="227">
        <v>1184.0922033308</v>
      </c>
      <c r="AG528" s="226" t="s">
        <v>155</v>
      </c>
      <c r="AH528" s="229">
        <v>0.79900000000000004</v>
      </c>
      <c r="AI528" s="225">
        <f t="shared" si="357"/>
        <v>946.0896704613092</v>
      </c>
      <c r="AJ528" s="226">
        <f t="shared" si="358"/>
        <v>0.10341649541757046</v>
      </c>
      <c r="AK528" s="226"/>
      <c r="AL528" s="226">
        <f t="shared" si="359"/>
        <v>161.09487333290971</v>
      </c>
      <c r="AM528" s="228">
        <f t="shared" si="360"/>
        <v>190751.18351006121</v>
      </c>
      <c r="AN528" s="226"/>
      <c r="AO528" s="227">
        <v>0.97395833333333004</v>
      </c>
      <c r="AP528" s="225"/>
      <c r="AQ528" s="226">
        <f t="shared" si="361"/>
        <v>1153.2564688690566</v>
      </c>
      <c r="AR528" s="226">
        <f t="shared" si="362"/>
        <v>1.2270529367138475E-3</v>
      </c>
      <c r="AS528" s="228">
        <f>AR528*'DADOS BASE'!W$38</f>
        <v>368084.91964332515</v>
      </c>
      <c r="AT528" s="225"/>
      <c r="AU528" s="227">
        <v>0.88</v>
      </c>
      <c r="AV528" s="227">
        <v>2.75</v>
      </c>
      <c r="AW528" s="226">
        <f t="shared" si="363"/>
        <v>0.22</v>
      </c>
      <c r="AX528" s="226">
        <f>IF($AW$11&gt;0,(AW528/$AW$11)*'DADOS BASE'!W$40,0)</f>
        <v>39.528802339215687</v>
      </c>
      <c r="AY528" s="226">
        <f t="shared" si="364"/>
        <v>0.21427083333333261</v>
      </c>
      <c r="AZ528" s="226">
        <f t="shared" si="365"/>
        <v>1.1206432181022553E-5</v>
      </c>
      <c r="BA528" s="226">
        <f>AZ528*'DADOS BASE'!W$41</f>
        <v>82.791482237158732</v>
      </c>
      <c r="BB528" s="225"/>
      <c r="BC528" s="227">
        <v>0</v>
      </c>
      <c r="BD528" s="226">
        <f>IF($BC$11&gt;0,(BC528/$BC$11)*'DADOS BASE'!W$39,0)</f>
        <v>0</v>
      </c>
      <c r="BE528" s="187"/>
    </row>
    <row r="529" spans="2:57" x14ac:dyDescent="0.3">
      <c r="F529" s="185"/>
      <c r="H529" s="186"/>
      <c r="J529" s="186"/>
      <c r="K529" s="186"/>
      <c r="L529" s="186"/>
      <c r="M529" s="186"/>
      <c r="N529" s="186"/>
      <c r="O529" s="187"/>
      <c r="P529" s="186"/>
      <c r="Q529" s="186"/>
      <c r="R529" s="186"/>
      <c r="S529" s="186"/>
      <c r="T529" s="186"/>
      <c r="U529" s="186"/>
      <c r="V529" s="186"/>
      <c r="W529" s="187"/>
      <c r="X529" s="186"/>
      <c r="Y529" s="186"/>
      <c r="Z529" s="185"/>
      <c r="AA529" s="186"/>
      <c r="AB529" s="186"/>
      <c r="AC529" s="186"/>
      <c r="AD529" s="186"/>
      <c r="AE529" s="186"/>
      <c r="AF529" s="186"/>
      <c r="AG529" s="186"/>
      <c r="AH529" s="185"/>
      <c r="AJ529" s="186"/>
      <c r="AK529" s="186"/>
      <c r="AL529" s="186"/>
      <c r="AM529" s="187"/>
      <c r="AN529" s="186"/>
      <c r="AO529" s="186"/>
      <c r="AQ529" s="186"/>
      <c r="AR529" s="186"/>
      <c r="AS529" s="187"/>
      <c r="AU529" s="186"/>
      <c r="AV529" s="186"/>
      <c r="AW529" s="186"/>
      <c r="AX529" s="186"/>
      <c r="AY529" s="186"/>
      <c r="AZ529" s="186"/>
      <c r="BA529" s="186"/>
      <c r="BC529" s="186"/>
      <c r="BD529" s="186"/>
      <c r="BE529" s="187"/>
    </row>
    <row r="530" spans="2:57" x14ac:dyDescent="0.3">
      <c r="B530" s="209" t="s">
        <v>608</v>
      </c>
      <c r="C530" s="209" t="s">
        <v>633</v>
      </c>
      <c r="D530" s="211" t="s">
        <v>154</v>
      </c>
      <c r="E530" s="211"/>
      <c r="F530" s="210"/>
      <c r="G530" s="211"/>
      <c r="H530" s="212">
        <f ca="1">SUM(H531:H546)</f>
        <v>24004367.232001457</v>
      </c>
      <c r="I530" s="211"/>
      <c r="J530" s="212">
        <f>SUM(J531:J546)</f>
        <v>22857518.464383993</v>
      </c>
      <c r="K530" s="212"/>
      <c r="L530" s="212">
        <f>SUM(L531:L546)</f>
        <v>23172.64543272321</v>
      </c>
      <c r="M530" s="212">
        <f>SUM(M531:M546)</f>
        <v>1.8078224058282483E-2</v>
      </c>
      <c r="N530" s="212">
        <f>SUM(N531:N546)</f>
        <v>22818941.202658202</v>
      </c>
      <c r="O530" s="214"/>
      <c r="P530" s="212">
        <f>SUM(P531:P546)</f>
        <v>0</v>
      </c>
      <c r="Q530" s="212">
        <f>SUM(Q531:Q546)</f>
        <v>0</v>
      </c>
      <c r="R530" s="212"/>
      <c r="S530" s="212">
        <f>SUM(S531:S546)</f>
        <v>48.969034090908998</v>
      </c>
      <c r="T530" s="212">
        <f>SUM(T531:T546)</f>
        <v>38577.26172579165</v>
      </c>
      <c r="U530" s="212"/>
      <c r="V530" s="212">
        <f>SUM(V531:V546)</f>
        <v>38577.26172579165</v>
      </c>
      <c r="W530" s="214"/>
      <c r="X530" s="212">
        <f>SUMIF(INDICADORES!$D$13:$D$53,C530,INDICADORES!$L$13:$L$53)</f>
        <v>2.6268832435017753E-2</v>
      </c>
      <c r="Y530" s="212">
        <f>X530*'DADOS BASE'!$I$79</f>
        <v>1090766.4172683358</v>
      </c>
      <c r="Z530" s="210">
        <f>SUMIF(INDICADORES!$D$13:$D$53,C530,INDICADORES!$R$13:$R$53)</f>
        <v>1.0648174680497446E-2</v>
      </c>
      <c r="AA530" s="212">
        <f>Z530*'DADOS BASE'!$I$84</f>
        <v>442146.46293950354</v>
      </c>
      <c r="AB530" s="212">
        <f>SUMIF(INDICADORES!$D$13:$D$53,C530,INDICADORES!$Z$13:$Z$53)</f>
        <v>3.9761413047181705E-2</v>
      </c>
      <c r="AC530" s="212">
        <f>AB530*'DADOS BASE'!$I$89</f>
        <v>3302043.5272323545</v>
      </c>
      <c r="AD530" s="212"/>
      <c r="AE530" s="212">
        <f>SUM(AE531:AE546)</f>
        <v>16625</v>
      </c>
      <c r="AF530" s="212">
        <f>SUM(AF531:AF546)</f>
        <v>10378.31260960894</v>
      </c>
      <c r="AG530" s="212" t="s">
        <v>155</v>
      </c>
      <c r="AH530" s="210"/>
      <c r="AI530" s="211"/>
      <c r="AJ530" s="212"/>
      <c r="AK530" s="212"/>
      <c r="AL530" s="212"/>
      <c r="AM530" s="214">
        <f>SUM(AM531:AM546)</f>
        <v>1787587.2664913035</v>
      </c>
      <c r="AN530" s="212"/>
      <c r="AO530" s="212"/>
      <c r="AP530" s="211"/>
      <c r="AQ530" s="212">
        <f>SUM(AQ531:AQ546)</f>
        <v>15869.614754910461</v>
      </c>
      <c r="AR530" s="212"/>
      <c r="AS530" s="214">
        <f>SUM(AS531:AS546)</f>
        <v>5065105.663409018</v>
      </c>
      <c r="AT530" s="211"/>
      <c r="AU530" s="212">
        <f t="shared" ref="AU530:BA530" si="366">SUM(AU531:AU546)</f>
        <v>24.484517045455</v>
      </c>
      <c r="AV530" s="212">
        <f t="shared" si="366"/>
        <v>38.5</v>
      </c>
      <c r="AW530" s="212">
        <f t="shared" si="366"/>
        <v>6.12112926136375</v>
      </c>
      <c r="AX530" s="212">
        <f t="shared" si="366"/>
        <v>1099.8223121147137</v>
      </c>
      <c r="AY530" s="212">
        <f t="shared" si="366"/>
        <v>8.3862167413395419</v>
      </c>
      <c r="AZ530" s="212">
        <f t="shared" si="366"/>
        <v>4.3860178123719364E-4</v>
      </c>
      <c r="BA530" s="212">
        <f t="shared" si="366"/>
        <v>3240.3258230552992</v>
      </c>
      <c r="BB530" s="211"/>
      <c r="BC530" s="212">
        <f>SUM(BC531:BC546)</f>
        <v>29</v>
      </c>
      <c r="BD530" s="212">
        <f>SUM(BD531:BD546)</f>
        <v>156692.91636290567</v>
      </c>
      <c r="BE530" s="187"/>
    </row>
    <row r="531" spans="2:57" x14ac:dyDescent="0.3">
      <c r="B531" s="216" t="s">
        <v>608</v>
      </c>
      <c r="C531" s="218" t="s">
        <v>156</v>
      </c>
      <c r="D531" s="218" t="s">
        <v>157</v>
      </c>
      <c r="E531" s="218"/>
      <c r="F531" s="217"/>
      <c r="G531" s="218"/>
      <c r="H531" s="219"/>
      <c r="I531" s="218"/>
      <c r="J531" s="219"/>
      <c r="K531" s="219"/>
      <c r="L531" s="219">
        <v>0</v>
      </c>
      <c r="M531" s="219">
        <v>0</v>
      </c>
      <c r="N531" s="219">
        <v>0</v>
      </c>
      <c r="O531" s="221"/>
      <c r="P531" s="219"/>
      <c r="Q531" s="219"/>
      <c r="R531" s="219"/>
      <c r="S531" s="219"/>
      <c r="T531" s="219"/>
      <c r="U531" s="219"/>
      <c r="V531" s="219"/>
      <c r="W531" s="221"/>
      <c r="X531" s="219"/>
      <c r="Y531" s="219"/>
      <c r="Z531" s="217"/>
      <c r="AA531" s="219"/>
      <c r="AB531" s="219"/>
      <c r="AC531" s="219"/>
      <c r="AD531" s="219"/>
      <c r="AE531" s="219"/>
      <c r="AF531" s="219"/>
      <c r="AG531" s="219" t="s">
        <v>155</v>
      </c>
      <c r="AH531" s="217"/>
      <c r="AI531" s="218"/>
      <c r="AJ531" s="219"/>
      <c r="AK531" s="219"/>
      <c r="AL531" s="219"/>
      <c r="AM531" s="221"/>
      <c r="AN531" s="219"/>
      <c r="AO531" s="219"/>
      <c r="AP531" s="218"/>
      <c r="AQ531" s="219"/>
      <c r="AR531" s="219"/>
      <c r="AS531" s="221"/>
      <c r="AT531" s="218"/>
      <c r="AU531" s="219"/>
      <c r="AV531" s="219"/>
      <c r="AW531" s="219"/>
      <c r="AX531" s="219"/>
      <c r="AY531" s="219"/>
      <c r="AZ531" s="219"/>
      <c r="BA531" s="219"/>
      <c r="BB531" s="218"/>
      <c r="BC531" s="219"/>
      <c r="BD531" s="219"/>
      <c r="BE531" s="187"/>
    </row>
    <row r="532" spans="2:57" x14ac:dyDescent="0.3">
      <c r="B532" s="223" t="s">
        <v>608</v>
      </c>
      <c r="C532" s="223" t="s">
        <v>634</v>
      </c>
      <c r="D532" s="223" t="s">
        <v>94</v>
      </c>
      <c r="E532" s="223">
        <v>0</v>
      </c>
      <c r="F532" s="224"/>
      <c r="G532" s="225"/>
      <c r="H532" s="226">
        <f ca="1">IF(AND(E532&gt;=2018,SUMIF('DADOS BASE'!$C$101:$D$104,D532,'DADOS BASE'!$H$101:$H$104)&gt;J532),
SUMIF('DADOS BASE'!$C$101:$D$104,D532,'DADOS BASE'!$H$101:$H$104),
J532)</f>
        <v>792743.10134521441</v>
      </c>
      <c r="I532" s="225"/>
      <c r="J532" s="226">
        <f t="shared" ref="J532:J546" si="367">N532+Q532+T532</f>
        <v>792743.10134521441</v>
      </c>
      <c r="K532" s="226"/>
      <c r="L532" s="227">
        <v>805.03098910522999</v>
      </c>
      <c r="M532" s="226">
        <f t="shared" ref="M532:M546" si="368">L532/$L$11</f>
        <v>6.2804786950882037E-4</v>
      </c>
      <c r="N532" s="226">
        <f>L532*'DADOS BASE'!$I$29</f>
        <v>792743.10134521441</v>
      </c>
      <c r="O532" s="228"/>
      <c r="P532" s="227">
        <v>0</v>
      </c>
      <c r="Q532" s="226">
        <f>P532*'DADOS BASE'!$I$33</f>
        <v>0</v>
      </c>
      <c r="R532" s="226"/>
      <c r="S532" s="227">
        <v>0</v>
      </c>
      <c r="T532" s="226">
        <f>S532*'DADOS BASE'!$I$37</f>
        <v>0</v>
      </c>
      <c r="U532" s="226"/>
      <c r="V532" s="226">
        <f t="shared" ref="V532:V546" si="369">T532+Q532</f>
        <v>0</v>
      </c>
      <c r="W532" s="228"/>
      <c r="X532" s="226"/>
      <c r="Y532" s="226"/>
      <c r="Z532" s="224"/>
      <c r="AA532" s="226"/>
      <c r="AB532" s="226"/>
      <c r="AC532" s="226"/>
      <c r="AD532" s="226"/>
      <c r="AE532" s="227">
        <v>802</v>
      </c>
      <c r="AF532" s="227">
        <v>532.04845239729002</v>
      </c>
      <c r="AG532" s="226" t="s">
        <v>155</v>
      </c>
      <c r="AH532" s="229">
        <v>0.73299999999999998</v>
      </c>
      <c r="AI532" s="225">
        <f t="shared" ref="AI532:AI546" si="370">AF532*AH532</f>
        <v>389.99151560721356</v>
      </c>
      <c r="AJ532" s="226">
        <f t="shared" ref="AJ532:AJ546" si="371">(AH532-$AI$12)*$AJ$12</f>
        <v>1.4396087254303573E-2</v>
      </c>
      <c r="AK532" s="226"/>
      <c r="AL532" s="226">
        <f t="shared" ref="AL532:AL546" si="372">$AL$11-(AJ532*$AL$11)</f>
        <v>177.08973750764645</v>
      </c>
      <c r="AM532" s="228">
        <f t="shared" ref="AM532:AM546" si="373">AF532*AL532</f>
        <v>94220.320776385619</v>
      </c>
      <c r="AN532" s="226"/>
      <c r="AO532" s="227">
        <v>1.1779527559055001</v>
      </c>
      <c r="AP532" s="225"/>
      <c r="AQ532" s="226">
        <f t="shared" ref="AQ532:AQ546" si="374">AF532*AO532</f>
        <v>626.727940776644</v>
      </c>
      <c r="AR532" s="226">
        <f t="shared" ref="AR532:AR546" si="375">AQ532/$AQ$11</f>
        <v>6.66832036940363E-4</v>
      </c>
      <c r="AS532" s="228">
        <f>AR532*'DADOS BASE'!W$38</f>
        <v>200032.78537446525</v>
      </c>
      <c r="AT532" s="225"/>
      <c r="AU532" s="227">
        <v>0</v>
      </c>
      <c r="AV532" s="227">
        <v>0</v>
      </c>
      <c r="AW532" s="226">
        <f t="shared" ref="AW532:AW546" si="376">AU532/4</f>
        <v>0</v>
      </c>
      <c r="AX532" s="226">
        <f>IF($AW$11&gt;0,(AW532/$AW$11)*'DADOS BASE'!W$40,0)</f>
        <v>0</v>
      </c>
      <c r="AY532" s="226">
        <f t="shared" ref="AY532:AY546" si="377">AO532*AW532</f>
        <v>0</v>
      </c>
      <c r="AZ532" s="226">
        <f t="shared" ref="AZ532:AZ546" si="378">IF($AY$11&gt;0,AY532/$AY$11,0)</f>
        <v>0</v>
      </c>
      <c r="BA532" s="226">
        <f>AZ532*'DADOS BASE'!W$41</f>
        <v>0</v>
      </c>
      <c r="BB532" s="225"/>
      <c r="BC532" s="227">
        <v>0</v>
      </c>
      <c r="BD532" s="226">
        <f>IF($BC$11&gt;0,(BC532/$BC$11)*'DADOS BASE'!W$39,0)</f>
        <v>0</v>
      </c>
      <c r="BE532" s="187"/>
    </row>
    <row r="533" spans="2:57" x14ac:dyDescent="0.3">
      <c r="B533" s="184" t="s">
        <v>608</v>
      </c>
      <c r="C533" s="184" t="s">
        <v>635</v>
      </c>
      <c r="D533" s="184" t="s">
        <v>98</v>
      </c>
      <c r="E533" s="184">
        <v>2016</v>
      </c>
      <c r="F533" s="185"/>
      <c r="H533" s="186">
        <f ca="1">IF(AND(E533&gt;=2018,SUMIF('DADOS BASE'!$C$101:$D$104,D533,'DADOS BASE'!$H$101:$H$104)&gt;J533),
SUMIF('DADOS BASE'!$C$101:$D$104,D533,'DADOS BASE'!$H$101:$H$104),
J533)</f>
        <v>42846.906612864375</v>
      </c>
      <c r="J533" s="186">
        <f t="shared" si="367"/>
        <v>42846.906612864375</v>
      </c>
      <c r="K533" s="186"/>
      <c r="L533" s="188">
        <v>43.511053646663001</v>
      </c>
      <c r="M533" s="186">
        <f t="shared" si="368"/>
        <v>3.3945307587778613E-5</v>
      </c>
      <c r="N533" s="186">
        <f>L533*'DADOS BASE'!$I$29</f>
        <v>42846.906612864375</v>
      </c>
      <c r="O533" s="187"/>
      <c r="P533" s="188">
        <v>0</v>
      </c>
      <c r="Q533" s="186">
        <f>P533*'DADOS BASE'!$I$33</f>
        <v>0</v>
      </c>
      <c r="R533" s="186"/>
      <c r="S533" s="188">
        <v>0</v>
      </c>
      <c r="T533" s="186">
        <f>S533*'DADOS BASE'!$I$37</f>
        <v>0</v>
      </c>
      <c r="U533" s="186"/>
      <c r="V533" s="186">
        <f t="shared" si="369"/>
        <v>0</v>
      </c>
      <c r="W533" s="187"/>
      <c r="X533" s="186"/>
      <c r="Y533" s="186"/>
      <c r="Z533" s="185"/>
      <c r="AA533" s="186"/>
      <c r="AB533" s="186"/>
      <c r="AC533" s="186"/>
      <c r="AD533" s="186"/>
      <c r="AE533" s="188">
        <v>114</v>
      </c>
      <c r="AF533" s="188">
        <v>15.074482323085</v>
      </c>
      <c r="AG533" s="186" t="s">
        <v>155</v>
      </c>
      <c r="AH533" s="189">
        <v>0.76800000000000002</v>
      </c>
      <c r="AI533" s="183">
        <f t="shared" si="370"/>
        <v>11.577202424129281</v>
      </c>
      <c r="AJ533" s="186">
        <f t="shared" si="371"/>
        <v>6.1603879462096618E-2</v>
      </c>
      <c r="AK533" s="186"/>
      <c r="AL533" s="186">
        <f t="shared" si="372"/>
        <v>168.60761256649818</v>
      </c>
      <c r="AM533" s="187">
        <f t="shared" si="373"/>
        <v>2541.6724751712413</v>
      </c>
      <c r="AN533" s="186"/>
      <c r="AO533" s="188">
        <v>0.74698795180722999</v>
      </c>
      <c r="AQ533" s="186">
        <f t="shared" si="374"/>
        <v>11.260456675075558</v>
      </c>
      <c r="AR533" s="186">
        <f t="shared" si="375"/>
        <v>1.1981009259319703E-5</v>
      </c>
      <c r="AS533" s="187">
        <f>AR533*'DADOS BASE'!W$38</f>
        <v>3594.000469346548</v>
      </c>
      <c r="AU533" s="188">
        <v>0</v>
      </c>
      <c r="AV533" s="188">
        <v>0</v>
      </c>
      <c r="AW533" s="186">
        <f t="shared" si="376"/>
        <v>0</v>
      </c>
      <c r="AX533" s="186">
        <f>IF($AW$11&gt;0,(AW533/$AW$11)*'DADOS BASE'!W$40,0)</f>
        <v>0</v>
      </c>
      <c r="AY533" s="186">
        <f t="shared" si="377"/>
        <v>0</v>
      </c>
      <c r="AZ533" s="186">
        <f t="shared" si="378"/>
        <v>0</v>
      </c>
      <c r="BA533" s="186">
        <f>AZ533*'DADOS BASE'!W$41</f>
        <v>0</v>
      </c>
      <c r="BC533" s="188">
        <v>0</v>
      </c>
      <c r="BD533" s="186">
        <f>IF($BC$11&gt;0,(BC533/$BC$11)*'DADOS BASE'!W$39,0)</f>
        <v>0</v>
      </c>
      <c r="BE533" s="187"/>
    </row>
    <row r="534" spans="2:57" x14ac:dyDescent="0.3">
      <c r="B534" s="223" t="s">
        <v>608</v>
      </c>
      <c r="C534" s="223" t="s">
        <v>636</v>
      </c>
      <c r="D534" s="223" t="s">
        <v>98</v>
      </c>
      <c r="E534" s="223">
        <v>2016</v>
      </c>
      <c r="F534" s="224"/>
      <c r="G534" s="225"/>
      <c r="H534" s="226">
        <f ca="1">IF(AND(E534&gt;=2018,SUMIF('DADOS BASE'!$C$101:$D$104,D534,'DADOS BASE'!$H$101:$H$104)&gt;J534),
SUMIF('DADOS BASE'!$C$101:$D$104,D534,'DADOS BASE'!$H$101:$H$104),
J534)</f>
        <v>303708.63440978772</v>
      </c>
      <c r="I534" s="225"/>
      <c r="J534" s="226">
        <f t="shared" si="367"/>
        <v>303708.63440978772</v>
      </c>
      <c r="K534" s="226"/>
      <c r="L534" s="227">
        <v>308.41625987513999</v>
      </c>
      <c r="M534" s="226">
        <f t="shared" si="368"/>
        <v>2.4061207277468016E-4</v>
      </c>
      <c r="N534" s="226">
        <f>L534*'DADOS BASE'!$I$29</f>
        <v>303708.63440978772</v>
      </c>
      <c r="O534" s="228"/>
      <c r="P534" s="227">
        <v>0</v>
      </c>
      <c r="Q534" s="226">
        <f>P534*'DADOS BASE'!$I$33</f>
        <v>0</v>
      </c>
      <c r="R534" s="226"/>
      <c r="S534" s="227">
        <v>0</v>
      </c>
      <c r="T534" s="226">
        <f>S534*'DADOS BASE'!$I$37</f>
        <v>0</v>
      </c>
      <c r="U534" s="226"/>
      <c r="V534" s="226">
        <f t="shared" si="369"/>
        <v>0</v>
      </c>
      <c r="W534" s="228"/>
      <c r="X534" s="226"/>
      <c r="Y534" s="226"/>
      <c r="Z534" s="224"/>
      <c r="AA534" s="226"/>
      <c r="AB534" s="226"/>
      <c r="AC534" s="226"/>
      <c r="AD534" s="226"/>
      <c r="AE534" s="227">
        <v>312</v>
      </c>
      <c r="AF534" s="227">
        <v>179.15921583366</v>
      </c>
      <c r="AG534" s="226" t="s">
        <v>155</v>
      </c>
      <c r="AH534" s="229">
        <v>0.76800000000000002</v>
      </c>
      <c r="AI534" s="225">
        <f t="shared" si="370"/>
        <v>137.59427776025089</v>
      </c>
      <c r="AJ534" s="226">
        <f t="shared" si="371"/>
        <v>6.1603879462096618E-2</v>
      </c>
      <c r="AK534" s="226"/>
      <c r="AL534" s="226">
        <f t="shared" si="372"/>
        <v>168.60761256649818</v>
      </c>
      <c r="AM534" s="228">
        <f t="shared" si="373"/>
        <v>30207.607650999369</v>
      </c>
      <c r="AN534" s="226"/>
      <c r="AO534" s="227">
        <v>1.7420814479638</v>
      </c>
      <c r="AP534" s="225"/>
      <c r="AQ534" s="226">
        <f t="shared" si="374"/>
        <v>312.10994613556136</v>
      </c>
      <c r="AR534" s="226">
        <f t="shared" si="375"/>
        <v>3.3208174965522371E-4</v>
      </c>
      <c r="AS534" s="228">
        <f>AR534*'DADOS BASE'!W$38</f>
        <v>99616.145709419594</v>
      </c>
      <c r="AT534" s="225"/>
      <c r="AU534" s="227">
        <v>0</v>
      </c>
      <c r="AV534" s="227">
        <v>0</v>
      </c>
      <c r="AW534" s="226">
        <f t="shared" si="376"/>
        <v>0</v>
      </c>
      <c r="AX534" s="226">
        <f>IF($AW$11&gt;0,(AW534/$AW$11)*'DADOS BASE'!W$40,0)</f>
        <v>0</v>
      </c>
      <c r="AY534" s="226">
        <f t="shared" si="377"/>
        <v>0</v>
      </c>
      <c r="AZ534" s="226">
        <f t="shared" si="378"/>
        <v>0</v>
      </c>
      <c r="BA534" s="226">
        <f>AZ534*'DADOS BASE'!W$41</f>
        <v>0</v>
      </c>
      <c r="BB534" s="225"/>
      <c r="BC534" s="227">
        <v>0</v>
      </c>
      <c r="BD534" s="226">
        <f>IF($BC$11&gt;0,(BC534/$BC$11)*'DADOS BASE'!W$39,0)</f>
        <v>0</v>
      </c>
      <c r="BE534" s="187"/>
    </row>
    <row r="535" spans="2:57" x14ac:dyDescent="0.3">
      <c r="B535" s="184" t="s">
        <v>608</v>
      </c>
      <c r="C535" s="184" t="s">
        <v>637</v>
      </c>
      <c r="D535" s="184" t="s">
        <v>94</v>
      </c>
      <c r="E535" s="184">
        <v>2018</v>
      </c>
      <c r="F535" s="185"/>
      <c r="H535" s="186">
        <f ca="1">IF(AND(E535&gt;=2018,SUMIF('DADOS BASE'!$C$101:$D$104,D535,'DADOS BASE'!$H$101:$H$104)&gt;J535),
SUMIF('DADOS BASE'!$C$101:$D$104,D535,'DADOS BASE'!$H$101:$H$104),
J535)</f>
        <v>700000</v>
      </c>
      <c r="J535" s="186">
        <f t="shared" si="367"/>
        <v>146874.38718984611</v>
      </c>
      <c r="K535" s="186"/>
      <c r="L535" s="188">
        <v>149.15100868494</v>
      </c>
      <c r="M535" s="186">
        <f t="shared" si="368"/>
        <v>1.1636070475222848E-4</v>
      </c>
      <c r="N535" s="186">
        <f>L535*'DADOS BASE'!$I$29</f>
        <v>146874.38718984611</v>
      </c>
      <c r="O535" s="187"/>
      <c r="P535" s="188">
        <v>0</v>
      </c>
      <c r="Q535" s="186">
        <f>P535*'DADOS BASE'!$I$33</f>
        <v>0</v>
      </c>
      <c r="R535" s="186"/>
      <c r="S535" s="188">
        <v>0</v>
      </c>
      <c r="T535" s="186">
        <f>S535*'DADOS BASE'!$I$37</f>
        <v>0</v>
      </c>
      <c r="U535" s="186"/>
      <c r="V535" s="186">
        <f t="shared" si="369"/>
        <v>0</v>
      </c>
      <c r="W535" s="187"/>
      <c r="X535" s="186"/>
      <c r="Y535" s="186"/>
      <c r="Z535" s="185"/>
      <c r="AA535" s="186"/>
      <c r="AB535" s="186"/>
      <c r="AC535" s="186"/>
      <c r="AD535" s="186"/>
      <c r="AE535" s="188">
        <v>256</v>
      </c>
      <c r="AF535" s="188">
        <v>74.018247510864001</v>
      </c>
      <c r="AG535" s="186" t="s">
        <v>155</v>
      </c>
      <c r="AH535" s="189">
        <v>0.68400000000000005</v>
      </c>
      <c r="AI535" s="183">
        <f t="shared" si="370"/>
        <v>50.62848129743098</v>
      </c>
      <c r="AJ535" s="186">
        <f t="shared" si="371"/>
        <v>-5.1694821836606543E-2</v>
      </c>
      <c r="AK535" s="186"/>
      <c r="AL535" s="186">
        <f t="shared" si="372"/>
        <v>188.96471242525399</v>
      </c>
      <c r="AM535" s="187">
        <f t="shared" si="373"/>
        <v>13986.836855111687</v>
      </c>
      <c r="AN535" s="186"/>
      <c r="AO535" s="188">
        <v>1.3731343283582</v>
      </c>
      <c r="AQ535" s="186">
        <f t="shared" si="374"/>
        <v>101.63699658208125</v>
      </c>
      <c r="AR535" s="186">
        <f t="shared" si="375"/>
        <v>1.0814071154278382E-4</v>
      </c>
      <c r="AS535" s="187">
        <f>AR535*'DADOS BASE'!W$38</f>
        <v>32439.484823693656</v>
      </c>
      <c r="AU535" s="188">
        <v>0</v>
      </c>
      <c r="AV535" s="188">
        <v>0</v>
      </c>
      <c r="AW535" s="186">
        <f t="shared" si="376"/>
        <v>0</v>
      </c>
      <c r="AX535" s="186">
        <f>IF($AW$11&gt;0,(AW535/$AW$11)*'DADOS BASE'!W$40,0)</f>
        <v>0</v>
      </c>
      <c r="AY535" s="186">
        <f t="shared" si="377"/>
        <v>0</v>
      </c>
      <c r="AZ535" s="186">
        <f t="shared" si="378"/>
        <v>0</v>
      </c>
      <c r="BA535" s="186">
        <f>AZ535*'DADOS BASE'!W$41</f>
        <v>0</v>
      </c>
      <c r="BC535" s="188">
        <v>0</v>
      </c>
      <c r="BD535" s="186">
        <f>IF($BC$11&gt;0,(BC535/$BC$11)*'DADOS BASE'!W$39,0)</f>
        <v>0</v>
      </c>
      <c r="BE535" s="187"/>
    </row>
    <row r="536" spans="2:57" x14ac:dyDescent="0.3">
      <c r="B536" s="223" t="s">
        <v>608</v>
      </c>
      <c r="C536" s="223" t="s">
        <v>638</v>
      </c>
      <c r="D536" s="223" t="s">
        <v>94</v>
      </c>
      <c r="E536" s="223">
        <v>0</v>
      </c>
      <c r="F536" s="224"/>
      <c r="G536" s="225"/>
      <c r="H536" s="226">
        <f ca="1">IF(AND(E536&gt;=2018,SUMIF('DADOS BASE'!$C$101:$D$104,D536,'DADOS BASE'!$H$101:$H$104)&gt;J536),
SUMIF('DADOS BASE'!$C$101:$D$104,D536,'DADOS BASE'!$H$101:$H$104),
J536)</f>
        <v>2700855.3162397272</v>
      </c>
      <c r="I536" s="225"/>
      <c r="J536" s="226">
        <f t="shared" si="367"/>
        <v>2700855.3162397272</v>
      </c>
      <c r="K536" s="226"/>
      <c r="L536" s="227">
        <v>2742.7198331629002</v>
      </c>
      <c r="M536" s="226">
        <f t="shared" si="368"/>
        <v>2.1397429057881667E-3</v>
      </c>
      <c r="N536" s="226">
        <f>L536*'DADOS BASE'!$I$29</f>
        <v>2700855.3162397272</v>
      </c>
      <c r="O536" s="228"/>
      <c r="P536" s="227">
        <v>0</v>
      </c>
      <c r="Q536" s="226">
        <f>P536*'DADOS BASE'!$I$33</f>
        <v>0</v>
      </c>
      <c r="R536" s="226"/>
      <c r="S536" s="227">
        <v>0</v>
      </c>
      <c r="T536" s="226">
        <f>S536*'DADOS BASE'!$I$37</f>
        <v>0</v>
      </c>
      <c r="U536" s="226"/>
      <c r="V536" s="226">
        <f t="shared" si="369"/>
        <v>0</v>
      </c>
      <c r="W536" s="228"/>
      <c r="X536" s="226"/>
      <c r="Y536" s="226"/>
      <c r="Z536" s="224"/>
      <c r="AA536" s="226"/>
      <c r="AB536" s="226"/>
      <c r="AC536" s="226"/>
      <c r="AD536" s="226"/>
      <c r="AE536" s="227">
        <v>1704</v>
      </c>
      <c r="AF536" s="227">
        <v>1098.9120192467001</v>
      </c>
      <c r="AG536" s="226" t="s">
        <v>155</v>
      </c>
      <c r="AH536" s="229">
        <v>0.71099999999999997</v>
      </c>
      <c r="AI536" s="225">
        <f t="shared" si="370"/>
        <v>781.32644568440367</v>
      </c>
      <c r="AJ536" s="226">
        <f t="shared" si="371"/>
        <v>-1.5277382133452056E-2</v>
      </c>
      <c r="AK536" s="226"/>
      <c r="AL536" s="226">
        <f t="shared" si="372"/>
        <v>182.42135889922537</v>
      </c>
      <c r="AM536" s="228">
        <f t="shared" si="373"/>
        <v>200465.02386167474</v>
      </c>
      <c r="AN536" s="226"/>
      <c r="AO536" s="227">
        <v>1.7379110251451</v>
      </c>
      <c r="AP536" s="225"/>
      <c r="AQ536" s="226">
        <f t="shared" si="374"/>
        <v>1909.8113139133043</v>
      </c>
      <c r="AR536" s="226">
        <f t="shared" si="375"/>
        <v>2.0320194549654259E-3</v>
      </c>
      <c r="AS536" s="228">
        <f>AR536*'DADOS BASE'!W$38</f>
        <v>609554.56396014302</v>
      </c>
      <c r="AT536" s="225"/>
      <c r="AU536" s="227">
        <v>0</v>
      </c>
      <c r="AV536" s="227">
        <v>0</v>
      </c>
      <c r="AW536" s="226">
        <f t="shared" si="376"/>
        <v>0</v>
      </c>
      <c r="AX536" s="226">
        <f>IF($AW$11&gt;0,(AW536/$AW$11)*'DADOS BASE'!W$40,0)</f>
        <v>0</v>
      </c>
      <c r="AY536" s="226">
        <f t="shared" si="377"/>
        <v>0</v>
      </c>
      <c r="AZ536" s="226">
        <f t="shared" si="378"/>
        <v>0</v>
      </c>
      <c r="BA536" s="226">
        <f>AZ536*'DADOS BASE'!W$41</f>
        <v>0</v>
      </c>
      <c r="BB536" s="225"/>
      <c r="BC536" s="227">
        <v>0</v>
      </c>
      <c r="BD536" s="226">
        <f>IF($BC$11&gt;0,(BC536/$BC$11)*'DADOS BASE'!W$39,0)</f>
        <v>0</v>
      </c>
      <c r="BE536" s="187"/>
    </row>
    <row r="537" spans="2:57" x14ac:dyDescent="0.3">
      <c r="B537" s="184" t="s">
        <v>608</v>
      </c>
      <c r="C537" s="184" t="s">
        <v>639</v>
      </c>
      <c r="D537" s="184" t="s">
        <v>94</v>
      </c>
      <c r="E537" s="184">
        <v>0</v>
      </c>
      <c r="F537" s="185"/>
      <c r="H537" s="186">
        <f ca="1">IF(AND(E537&gt;=2018,SUMIF('DADOS BASE'!$C$101:$D$104,D537,'DADOS BASE'!$H$101:$H$104)&gt;J537),
SUMIF('DADOS BASE'!$C$101:$D$104,D537,'DADOS BASE'!$H$101:$H$104),
J537)</f>
        <v>507799.25402344693</v>
      </c>
      <c r="J537" s="186">
        <f t="shared" si="367"/>
        <v>507799.25402344693</v>
      </c>
      <c r="K537" s="186"/>
      <c r="L537" s="188">
        <v>476.49515199605003</v>
      </c>
      <c r="M537" s="186">
        <f t="shared" si="368"/>
        <v>3.7173943499370382E-4</v>
      </c>
      <c r="N537" s="186">
        <f>L537*'DADOS BASE'!$I$29</f>
        <v>469221.99229765526</v>
      </c>
      <c r="O537" s="187"/>
      <c r="P537" s="188">
        <v>0</v>
      </c>
      <c r="Q537" s="186">
        <f>P537*'DADOS BASE'!$I$33</f>
        <v>0</v>
      </c>
      <c r="R537" s="186"/>
      <c r="S537" s="188">
        <v>48.969034090908998</v>
      </c>
      <c r="T537" s="186">
        <f>S537*'DADOS BASE'!$I$37</f>
        <v>38577.26172579165</v>
      </c>
      <c r="U537" s="186"/>
      <c r="V537" s="186">
        <f t="shared" si="369"/>
        <v>38577.26172579165</v>
      </c>
      <c r="W537" s="187"/>
      <c r="X537" s="186"/>
      <c r="Y537" s="186"/>
      <c r="Z537" s="185"/>
      <c r="AA537" s="186"/>
      <c r="AB537" s="186"/>
      <c r="AC537" s="186"/>
      <c r="AD537" s="186"/>
      <c r="AE537" s="188">
        <v>620</v>
      </c>
      <c r="AF537" s="188">
        <v>363.75906837707998</v>
      </c>
      <c r="AG537" s="186" t="s">
        <v>155</v>
      </c>
      <c r="AH537" s="189">
        <v>0.72199999999999998</v>
      </c>
      <c r="AI537" s="183">
        <f t="shared" si="370"/>
        <v>262.63404736825174</v>
      </c>
      <c r="AJ537" s="186">
        <f t="shared" si="371"/>
        <v>-4.406474395742409E-4</v>
      </c>
      <c r="AK537" s="186"/>
      <c r="AL537" s="186">
        <f t="shared" si="372"/>
        <v>179.75554820343589</v>
      </c>
      <c r="AM537" s="187">
        <f t="shared" si="373"/>
        <v>65387.710750093131</v>
      </c>
      <c r="AN537" s="186"/>
      <c r="AO537" s="188">
        <v>1.3700440528633999</v>
      </c>
      <c r="AQ537" s="186">
        <f t="shared" si="374"/>
        <v>498.36594830514929</v>
      </c>
      <c r="AR537" s="186">
        <f t="shared" si="375"/>
        <v>5.3025620660572125E-4</v>
      </c>
      <c r="AS537" s="187">
        <f>AR537*'DADOS BASE'!W$38</f>
        <v>159063.48239673197</v>
      </c>
      <c r="AU537" s="188">
        <v>24.484517045455</v>
      </c>
      <c r="AV537" s="188">
        <v>38.5</v>
      </c>
      <c r="AW537" s="186">
        <f t="shared" si="376"/>
        <v>6.12112926136375</v>
      </c>
      <c r="AX537" s="186">
        <f>IF($AW$11&gt;0,(AW537/$AW$11)*'DADOS BASE'!W$40,0)</f>
        <v>1099.8223121147137</v>
      </c>
      <c r="AY537" s="186">
        <f t="shared" si="377"/>
        <v>8.3862167413395419</v>
      </c>
      <c r="AZ537" s="186">
        <f t="shared" si="378"/>
        <v>4.3860178123719364E-4</v>
      </c>
      <c r="BA537" s="186">
        <f>AZ537*'DADOS BASE'!W$41</f>
        <v>3240.3258230552992</v>
      </c>
      <c r="BC537" s="188">
        <v>0</v>
      </c>
      <c r="BD537" s="186">
        <f>IF($BC$11&gt;0,(BC537/$BC$11)*'DADOS BASE'!W$39,0)</f>
        <v>0</v>
      </c>
      <c r="BE537" s="187"/>
    </row>
    <row r="538" spans="2:57" x14ac:dyDescent="0.3">
      <c r="B538" s="223" t="s">
        <v>608</v>
      </c>
      <c r="C538" s="223" t="s">
        <v>640</v>
      </c>
      <c r="D538" s="223" t="s">
        <v>94</v>
      </c>
      <c r="E538" s="223">
        <v>0</v>
      </c>
      <c r="F538" s="224"/>
      <c r="G538" s="225"/>
      <c r="H538" s="226">
        <f ca="1">IF(AND(E538&gt;=2018,SUMIF('DADOS BASE'!$C$101:$D$104,D538,'DADOS BASE'!$H$101:$H$104)&gt;J538),
SUMIF('DADOS BASE'!$C$101:$D$104,D538,'DADOS BASE'!$H$101:$H$104),
J538)</f>
        <v>4355556.9865470752</v>
      </c>
      <c r="I538" s="225"/>
      <c r="J538" s="226">
        <f t="shared" si="367"/>
        <v>4355556.9865470752</v>
      </c>
      <c r="K538" s="226"/>
      <c r="L538" s="227">
        <v>4423.0701510163999</v>
      </c>
      <c r="M538" s="226">
        <f t="shared" si="368"/>
        <v>3.4506743499669078E-3</v>
      </c>
      <c r="N538" s="226">
        <f>L538*'DADOS BASE'!$I$29</f>
        <v>4355556.9865470752</v>
      </c>
      <c r="O538" s="228"/>
      <c r="P538" s="227">
        <v>0</v>
      </c>
      <c r="Q538" s="226">
        <f>P538*'DADOS BASE'!$I$33</f>
        <v>0</v>
      </c>
      <c r="R538" s="226"/>
      <c r="S538" s="227">
        <v>0</v>
      </c>
      <c r="T538" s="226">
        <f>S538*'DADOS BASE'!$I$37</f>
        <v>0</v>
      </c>
      <c r="U538" s="226"/>
      <c r="V538" s="226">
        <f t="shared" si="369"/>
        <v>0</v>
      </c>
      <c r="W538" s="228"/>
      <c r="X538" s="226"/>
      <c r="Y538" s="226"/>
      <c r="Z538" s="224"/>
      <c r="AA538" s="226"/>
      <c r="AB538" s="226"/>
      <c r="AC538" s="226"/>
      <c r="AD538" s="226"/>
      <c r="AE538" s="227">
        <v>3176</v>
      </c>
      <c r="AF538" s="227">
        <v>1915.7877109141</v>
      </c>
      <c r="AG538" s="226" t="s">
        <v>155</v>
      </c>
      <c r="AH538" s="229">
        <v>0.753</v>
      </c>
      <c r="AI538" s="225">
        <f t="shared" si="370"/>
        <v>1442.5881463183173</v>
      </c>
      <c r="AJ538" s="226">
        <f t="shared" si="371"/>
        <v>4.1371968515899596E-2</v>
      </c>
      <c r="AK538" s="226"/>
      <c r="AL538" s="226">
        <f t="shared" si="372"/>
        <v>172.24280896984743</v>
      </c>
      <c r="AM538" s="228">
        <f t="shared" si="373"/>
        <v>329980.65671775863</v>
      </c>
      <c r="AN538" s="226"/>
      <c r="AO538" s="227">
        <v>1.4279279279279</v>
      </c>
      <c r="AP538" s="225"/>
      <c r="AQ538" s="226">
        <f t="shared" si="374"/>
        <v>2735.6067763953056</v>
      </c>
      <c r="AR538" s="226">
        <f t="shared" si="375"/>
        <v>2.9106572729324901E-3</v>
      </c>
      <c r="AS538" s="228">
        <f>AR538*'DADOS BASE'!W$38</f>
        <v>873123.73929508973</v>
      </c>
      <c r="AT538" s="225"/>
      <c r="AU538" s="227">
        <v>0</v>
      </c>
      <c r="AV538" s="227">
        <v>0</v>
      </c>
      <c r="AW538" s="226">
        <f t="shared" si="376"/>
        <v>0</v>
      </c>
      <c r="AX538" s="226">
        <f>IF($AW$11&gt;0,(AW538/$AW$11)*'DADOS BASE'!W$40,0)</f>
        <v>0</v>
      </c>
      <c r="AY538" s="226">
        <f t="shared" si="377"/>
        <v>0</v>
      </c>
      <c r="AZ538" s="226">
        <f t="shared" si="378"/>
        <v>0</v>
      </c>
      <c r="BA538" s="226">
        <f>AZ538*'DADOS BASE'!W$41</f>
        <v>0</v>
      </c>
      <c r="BB538" s="225"/>
      <c r="BC538" s="227">
        <v>0</v>
      </c>
      <c r="BD538" s="226">
        <f>IF($BC$11&gt;0,(BC538/$BC$11)*'DADOS BASE'!W$39,0)</f>
        <v>0</v>
      </c>
      <c r="BE538" s="187"/>
    </row>
    <row r="539" spans="2:57" x14ac:dyDescent="0.3">
      <c r="B539" s="184" t="s">
        <v>608</v>
      </c>
      <c r="C539" s="184" t="s">
        <v>625</v>
      </c>
      <c r="D539" s="184" t="s">
        <v>94</v>
      </c>
      <c r="E539" s="184">
        <v>2018</v>
      </c>
      <c r="F539" s="185"/>
      <c r="H539" s="186">
        <f ca="1">IF(AND(E539&gt;=2018,SUMIF('DADOS BASE'!$C$101:$D$104,D539,'DADOS BASE'!$H$101:$H$104)&gt;J539),
SUMIF('DADOS BASE'!$C$101:$D$104,D539,'DADOS BASE'!$H$101:$H$104),
J539)</f>
        <v>700000</v>
      </c>
      <c r="J539" s="186">
        <f t="shared" si="367"/>
        <v>648044.05234678043</v>
      </c>
      <c r="K539" s="186"/>
      <c r="L539" s="188">
        <v>658.08903736811999</v>
      </c>
      <c r="M539" s="186">
        <f t="shared" si="368"/>
        <v>5.1341056861120668E-4</v>
      </c>
      <c r="N539" s="186">
        <f>L539*'DADOS BASE'!$I$29</f>
        <v>648044.05234678043</v>
      </c>
      <c r="O539" s="187"/>
      <c r="P539" s="188">
        <v>0</v>
      </c>
      <c r="Q539" s="186">
        <f>P539*'DADOS BASE'!$I$33</f>
        <v>0</v>
      </c>
      <c r="R539" s="186"/>
      <c r="S539" s="188">
        <v>0</v>
      </c>
      <c r="T539" s="186">
        <f>S539*'DADOS BASE'!$I$37</f>
        <v>0</v>
      </c>
      <c r="U539" s="186"/>
      <c r="V539" s="186">
        <f t="shared" si="369"/>
        <v>0</v>
      </c>
      <c r="W539" s="187"/>
      <c r="X539" s="186"/>
      <c r="Y539" s="186"/>
      <c r="Z539" s="185"/>
      <c r="AA539" s="186"/>
      <c r="AB539" s="186"/>
      <c r="AC539" s="186"/>
      <c r="AD539" s="186"/>
      <c r="AE539" s="188">
        <v>628</v>
      </c>
      <c r="AF539" s="188">
        <v>448.35890955021</v>
      </c>
      <c r="AG539" s="186" t="s">
        <v>155</v>
      </c>
      <c r="AH539" s="189">
        <v>0.83699999999999997</v>
      </c>
      <c r="AI539" s="183">
        <f t="shared" si="370"/>
        <v>375.27640729352578</v>
      </c>
      <c r="AJ539" s="186">
        <f t="shared" si="371"/>
        <v>0.15467066981460276</v>
      </c>
      <c r="AK539" s="186"/>
      <c r="AL539" s="186">
        <f t="shared" si="372"/>
        <v>151.88570911109164</v>
      </c>
      <c r="AM539" s="187">
        <f t="shared" si="373"/>
        <v>68099.31091330944</v>
      </c>
      <c r="AN539" s="186"/>
      <c r="AO539" s="188">
        <v>1.0205761316872</v>
      </c>
      <c r="AQ539" s="186">
        <f t="shared" si="374"/>
        <v>457.5844015162445</v>
      </c>
      <c r="AR539" s="186">
        <f t="shared" si="375"/>
        <v>4.8686506326348468E-4</v>
      </c>
      <c r="AS539" s="187">
        <f>AR539*'DADOS BASE'!W$38</f>
        <v>146047.23425251374</v>
      </c>
      <c r="AU539" s="188">
        <v>0</v>
      </c>
      <c r="AV539" s="188">
        <v>0</v>
      </c>
      <c r="AW539" s="186">
        <f t="shared" si="376"/>
        <v>0</v>
      </c>
      <c r="AX539" s="186">
        <f>IF($AW$11&gt;0,(AW539/$AW$11)*'DADOS BASE'!W$40,0)</f>
        <v>0</v>
      </c>
      <c r="AY539" s="186">
        <f t="shared" si="377"/>
        <v>0</v>
      </c>
      <c r="AZ539" s="186">
        <f t="shared" si="378"/>
        <v>0</v>
      </c>
      <c r="BA539" s="186">
        <f>AZ539*'DADOS BASE'!W$41</f>
        <v>0</v>
      </c>
      <c r="BC539" s="188">
        <v>0</v>
      </c>
      <c r="BD539" s="186">
        <f>IF($BC$11&gt;0,(BC539/$BC$11)*'DADOS BASE'!W$39,0)</f>
        <v>0</v>
      </c>
      <c r="BE539" s="187"/>
    </row>
    <row r="540" spans="2:57" x14ac:dyDescent="0.3">
      <c r="B540" s="223" t="s">
        <v>608</v>
      </c>
      <c r="C540" s="223" t="s">
        <v>641</v>
      </c>
      <c r="D540" s="223" t="s">
        <v>94</v>
      </c>
      <c r="E540" s="223">
        <v>0</v>
      </c>
      <c r="F540" s="224"/>
      <c r="G540" s="225"/>
      <c r="H540" s="226">
        <f ca="1">IF(AND(E540&gt;=2018,SUMIF('DADOS BASE'!$C$101:$D$104,D540,'DADOS BASE'!$H$101:$H$104)&gt;J540),
SUMIF('DADOS BASE'!$C$101:$D$104,D540,'DADOS BASE'!$H$101:$H$104),
J540)</f>
        <v>2709569.266984209</v>
      </c>
      <c r="I540" s="225"/>
      <c r="J540" s="226">
        <f t="shared" si="367"/>
        <v>2709569.266984209</v>
      </c>
      <c r="K540" s="226"/>
      <c r="L540" s="227">
        <v>2751.5688542076</v>
      </c>
      <c r="M540" s="226">
        <f t="shared" si="368"/>
        <v>2.1466465019100247E-3</v>
      </c>
      <c r="N540" s="226">
        <f>L540*'DADOS BASE'!$I$29</f>
        <v>2709569.266984209</v>
      </c>
      <c r="O540" s="228"/>
      <c r="P540" s="227">
        <v>0</v>
      </c>
      <c r="Q540" s="226">
        <f>P540*'DADOS BASE'!$I$33</f>
        <v>0</v>
      </c>
      <c r="R540" s="226"/>
      <c r="S540" s="227">
        <v>0</v>
      </c>
      <c r="T540" s="226">
        <f>S540*'DADOS BASE'!$I$37</f>
        <v>0</v>
      </c>
      <c r="U540" s="226"/>
      <c r="V540" s="226">
        <f t="shared" si="369"/>
        <v>0</v>
      </c>
      <c r="W540" s="228"/>
      <c r="X540" s="226"/>
      <c r="Y540" s="226"/>
      <c r="Z540" s="224"/>
      <c r="AA540" s="226"/>
      <c r="AB540" s="226"/>
      <c r="AC540" s="226"/>
      <c r="AD540" s="226"/>
      <c r="AE540" s="227">
        <v>1590</v>
      </c>
      <c r="AF540" s="227">
        <v>1101.794292453</v>
      </c>
      <c r="AG540" s="226" t="s">
        <v>155</v>
      </c>
      <c r="AH540" s="229">
        <v>0.72</v>
      </c>
      <c r="AI540" s="225">
        <f t="shared" si="370"/>
        <v>793.29189056615996</v>
      </c>
      <c r="AJ540" s="226">
        <f t="shared" si="371"/>
        <v>-3.1382355657338435E-3</v>
      </c>
      <c r="AK540" s="226"/>
      <c r="AL540" s="226">
        <f t="shared" si="372"/>
        <v>180.2402410572158</v>
      </c>
      <c r="AM540" s="228">
        <f t="shared" si="373"/>
        <v>198587.66886719325</v>
      </c>
      <c r="AN540" s="226"/>
      <c r="AO540" s="227">
        <v>1.9844236760125</v>
      </c>
      <c r="AP540" s="225"/>
      <c r="AQ540" s="226">
        <f t="shared" si="374"/>
        <v>2186.4266800391738</v>
      </c>
      <c r="AR540" s="226">
        <f t="shared" si="375"/>
        <v>2.3263353391657364E-3</v>
      </c>
      <c r="AS540" s="228">
        <f>AR540*'DADOS BASE'!W$38</f>
        <v>697841.90295282833</v>
      </c>
      <c r="AT540" s="225"/>
      <c r="AU540" s="227">
        <v>0</v>
      </c>
      <c r="AV540" s="227">
        <v>0</v>
      </c>
      <c r="AW540" s="226">
        <f t="shared" si="376"/>
        <v>0</v>
      </c>
      <c r="AX540" s="226">
        <f>IF($AW$11&gt;0,(AW540/$AW$11)*'DADOS BASE'!W$40,0)</f>
        <v>0</v>
      </c>
      <c r="AY540" s="226">
        <f t="shared" si="377"/>
        <v>0</v>
      </c>
      <c r="AZ540" s="226">
        <f t="shared" si="378"/>
        <v>0</v>
      </c>
      <c r="BA540" s="226">
        <f>AZ540*'DADOS BASE'!W$41</f>
        <v>0</v>
      </c>
      <c r="BB540" s="225"/>
      <c r="BC540" s="227">
        <v>0</v>
      </c>
      <c r="BD540" s="226">
        <f>IF($BC$11&gt;0,(BC540/$BC$11)*'DADOS BASE'!W$39,0)</f>
        <v>0</v>
      </c>
      <c r="BE540" s="187"/>
    </row>
    <row r="541" spans="2:57" x14ac:dyDescent="0.3">
      <c r="B541" s="184" t="s">
        <v>608</v>
      </c>
      <c r="C541" s="184" t="s">
        <v>642</v>
      </c>
      <c r="D541" s="184" t="s">
        <v>92</v>
      </c>
      <c r="E541" s="184">
        <v>0</v>
      </c>
      <c r="F541" s="185"/>
      <c r="H541" s="186">
        <f ca="1">IF(AND(E541&gt;=2018,SUMIF('DADOS BASE'!$C$101:$D$104,D541,'DADOS BASE'!$H$101:$H$104)&gt;J541),
SUMIF('DADOS BASE'!$C$101:$D$104,D541,'DADOS BASE'!$H$101:$H$104),
J541)</f>
        <v>2307040.7434098474</v>
      </c>
      <c r="J541" s="186">
        <f t="shared" si="367"/>
        <v>2307040.7434098474</v>
      </c>
      <c r="K541" s="186"/>
      <c r="L541" s="188">
        <v>2342.800950802</v>
      </c>
      <c r="M541" s="186">
        <f t="shared" si="368"/>
        <v>1.8277447275288693E-3</v>
      </c>
      <c r="N541" s="186">
        <f>L541*'DADOS BASE'!$I$29</f>
        <v>2307040.7434098474</v>
      </c>
      <c r="O541" s="187"/>
      <c r="P541" s="188">
        <v>0</v>
      </c>
      <c r="Q541" s="186">
        <f>P541*'DADOS BASE'!$I$33</f>
        <v>0</v>
      </c>
      <c r="R541" s="186"/>
      <c r="S541" s="188">
        <v>0</v>
      </c>
      <c r="T541" s="186">
        <f>S541*'DADOS BASE'!$I$37</f>
        <v>0</v>
      </c>
      <c r="U541" s="186"/>
      <c r="V541" s="186">
        <f t="shared" si="369"/>
        <v>0</v>
      </c>
      <c r="W541" s="187"/>
      <c r="X541" s="186"/>
      <c r="Y541" s="186"/>
      <c r="Z541" s="185"/>
      <c r="AA541" s="186"/>
      <c r="AB541" s="186"/>
      <c r="AC541" s="186"/>
      <c r="AD541" s="186"/>
      <c r="AE541" s="188">
        <v>1208</v>
      </c>
      <c r="AF541" s="188">
        <v>919.19802225301999</v>
      </c>
      <c r="AG541" s="186" t="s">
        <v>155</v>
      </c>
      <c r="AH541" s="189">
        <v>0.71499999999999997</v>
      </c>
      <c r="AI541" s="183">
        <f t="shared" si="370"/>
        <v>657.22658591090931</v>
      </c>
      <c r="AJ541" s="186">
        <f t="shared" si="371"/>
        <v>-9.8822058811328505E-3</v>
      </c>
      <c r="AK541" s="186"/>
      <c r="AL541" s="186">
        <f t="shared" si="372"/>
        <v>181.45197319166556</v>
      </c>
      <c r="AM541" s="187">
        <f t="shared" si="373"/>
        <v>166790.29489168699</v>
      </c>
      <c r="AN541" s="186"/>
      <c r="AO541" s="188">
        <v>1.962657613967</v>
      </c>
      <c r="AQ541" s="186">
        <f t="shared" si="374"/>
        <v>1804.0709971182976</v>
      </c>
      <c r="AR541" s="186">
        <f t="shared" si="375"/>
        <v>1.9195128532208856E-3</v>
      </c>
      <c r="AS541" s="187">
        <f>AR541*'DADOS BASE'!W$38</f>
        <v>575805.42223738437</v>
      </c>
      <c r="AU541" s="188">
        <v>0</v>
      </c>
      <c r="AV541" s="188">
        <v>0</v>
      </c>
      <c r="AW541" s="186">
        <f t="shared" si="376"/>
        <v>0</v>
      </c>
      <c r="AX541" s="186">
        <f>IF($AW$11&gt;0,(AW541/$AW$11)*'DADOS BASE'!W$40,0)</f>
        <v>0</v>
      </c>
      <c r="AY541" s="186">
        <f t="shared" si="377"/>
        <v>0</v>
      </c>
      <c r="AZ541" s="186">
        <f t="shared" si="378"/>
        <v>0</v>
      </c>
      <c r="BA541" s="186">
        <f>AZ541*'DADOS BASE'!W$41</f>
        <v>0</v>
      </c>
      <c r="BC541" s="188">
        <v>29</v>
      </c>
      <c r="BD541" s="186">
        <f>IF($BC$11&gt;0,(BC541/$BC$11)*'DADOS BASE'!W$39,0)</f>
        <v>156692.91636290567</v>
      </c>
      <c r="BE541" s="187"/>
    </row>
    <row r="542" spans="2:57" x14ac:dyDescent="0.3">
      <c r="B542" s="223" t="s">
        <v>608</v>
      </c>
      <c r="C542" s="223" t="s">
        <v>643</v>
      </c>
      <c r="D542" s="223" t="s">
        <v>94</v>
      </c>
      <c r="E542" s="223">
        <v>0</v>
      </c>
      <c r="F542" s="224"/>
      <c r="G542" s="225"/>
      <c r="H542" s="226">
        <f ca="1">IF(AND(E542&gt;=2018,SUMIF('DADOS BASE'!$C$101:$D$104,D542,'DADOS BASE'!$H$101:$H$104)&gt;J542),
SUMIF('DADOS BASE'!$C$101:$D$104,D542,'DADOS BASE'!$H$101:$H$104),
J542)</f>
        <v>1637312.6541501083</v>
      </c>
      <c r="I542" s="225"/>
      <c r="J542" s="226">
        <f t="shared" si="367"/>
        <v>1637312.6541501083</v>
      </c>
      <c r="K542" s="226"/>
      <c r="L542" s="227">
        <v>1662.6917638366001</v>
      </c>
      <c r="M542" s="226">
        <f t="shared" si="368"/>
        <v>1.2971550586991624E-3</v>
      </c>
      <c r="N542" s="226">
        <f>L542*'DADOS BASE'!$I$29</f>
        <v>1637312.6541501083</v>
      </c>
      <c r="O542" s="228"/>
      <c r="P542" s="227">
        <v>0</v>
      </c>
      <c r="Q542" s="226">
        <f>P542*'DADOS BASE'!$I$33</f>
        <v>0</v>
      </c>
      <c r="R542" s="226"/>
      <c r="S542" s="227">
        <v>0</v>
      </c>
      <c r="T542" s="226">
        <f>S542*'DADOS BASE'!$I$37</f>
        <v>0</v>
      </c>
      <c r="U542" s="226"/>
      <c r="V542" s="226">
        <f t="shared" si="369"/>
        <v>0</v>
      </c>
      <c r="W542" s="228"/>
      <c r="X542" s="226"/>
      <c r="Y542" s="226"/>
      <c r="Z542" s="224"/>
      <c r="AA542" s="226"/>
      <c r="AB542" s="226"/>
      <c r="AC542" s="226"/>
      <c r="AD542" s="226"/>
      <c r="AE542" s="227">
        <v>1128</v>
      </c>
      <c r="AF542" s="227">
        <v>795.32951564142002</v>
      </c>
      <c r="AG542" s="226" t="s">
        <v>155</v>
      </c>
      <c r="AH542" s="229">
        <v>0.79900000000000004</v>
      </c>
      <c r="AI542" s="225">
        <f t="shared" si="370"/>
        <v>635.46828299749461</v>
      </c>
      <c r="AJ542" s="226">
        <f t="shared" si="371"/>
        <v>0.10341649541757046</v>
      </c>
      <c r="AK542" s="226"/>
      <c r="AL542" s="226">
        <f t="shared" si="372"/>
        <v>161.09487333290971</v>
      </c>
      <c r="AM542" s="228">
        <f t="shared" si="373"/>
        <v>128123.50758017899</v>
      </c>
      <c r="AN542" s="226"/>
      <c r="AO542" s="227">
        <v>1.1507024265645001</v>
      </c>
      <c r="AP542" s="225"/>
      <c r="AQ542" s="226">
        <f t="shared" si="374"/>
        <v>915.18760356695054</v>
      </c>
      <c r="AR542" s="226">
        <f t="shared" si="375"/>
        <v>9.7375013010088862E-4</v>
      </c>
      <c r="AS542" s="228">
        <f>AR542*'DADOS BASE'!W$38</f>
        <v>292100.46907246701</v>
      </c>
      <c r="AT542" s="225"/>
      <c r="AU542" s="227">
        <v>0</v>
      </c>
      <c r="AV542" s="227">
        <v>0</v>
      </c>
      <c r="AW542" s="226">
        <f t="shared" si="376"/>
        <v>0</v>
      </c>
      <c r="AX542" s="226">
        <f>IF($AW$11&gt;0,(AW542/$AW$11)*'DADOS BASE'!W$40,0)</f>
        <v>0</v>
      </c>
      <c r="AY542" s="226">
        <f t="shared" si="377"/>
        <v>0</v>
      </c>
      <c r="AZ542" s="226">
        <f t="shared" si="378"/>
        <v>0</v>
      </c>
      <c r="BA542" s="226">
        <f>AZ542*'DADOS BASE'!W$41</f>
        <v>0</v>
      </c>
      <c r="BB542" s="225"/>
      <c r="BC542" s="227">
        <v>0</v>
      </c>
      <c r="BD542" s="226">
        <f>IF($BC$11&gt;0,(BC542/$BC$11)*'DADOS BASE'!W$39,0)</f>
        <v>0</v>
      </c>
      <c r="BE542" s="187"/>
    </row>
    <row r="543" spans="2:57" x14ac:dyDescent="0.3">
      <c r="B543" s="184" t="s">
        <v>608</v>
      </c>
      <c r="C543" s="184" t="s">
        <v>644</v>
      </c>
      <c r="D543" s="184" t="s">
        <v>94</v>
      </c>
      <c r="E543" s="184">
        <v>0</v>
      </c>
      <c r="F543" s="185"/>
      <c r="H543" s="186">
        <f ca="1">IF(AND(E543&gt;=2018,SUMIF('DADOS BASE'!$C$101:$D$104,D543,'DADOS BASE'!$H$101:$H$104)&gt;J543),
SUMIF('DADOS BASE'!$C$101:$D$104,D543,'DADOS BASE'!$H$101:$H$104),
J543)</f>
        <v>3296941.6990443193</v>
      </c>
      <c r="J543" s="186">
        <f t="shared" si="367"/>
        <v>3296941.6990443193</v>
      </c>
      <c r="K543" s="186"/>
      <c r="L543" s="188">
        <v>3348.0458328809</v>
      </c>
      <c r="M543" s="186">
        <f t="shared" si="368"/>
        <v>2.6119901976641466E-3</v>
      </c>
      <c r="N543" s="186">
        <f>L543*'DADOS BASE'!$I$29</f>
        <v>3296941.6990443193</v>
      </c>
      <c r="O543" s="187"/>
      <c r="P543" s="188">
        <v>0</v>
      </c>
      <c r="Q543" s="186">
        <f>P543*'DADOS BASE'!$I$33</f>
        <v>0</v>
      </c>
      <c r="R543" s="186"/>
      <c r="S543" s="188">
        <v>0</v>
      </c>
      <c r="T543" s="186">
        <f>S543*'DADOS BASE'!$I$37</f>
        <v>0</v>
      </c>
      <c r="U543" s="186"/>
      <c r="V543" s="186">
        <f t="shared" si="369"/>
        <v>0</v>
      </c>
      <c r="W543" s="187"/>
      <c r="X543" s="186"/>
      <c r="Y543" s="186"/>
      <c r="Z543" s="185"/>
      <c r="AA543" s="186"/>
      <c r="AB543" s="186"/>
      <c r="AC543" s="186"/>
      <c r="AD543" s="186"/>
      <c r="AE543" s="188">
        <v>2225</v>
      </c>
      <c r="AF543" s="188">
        <v>1441.3729883855999</v>
      </c>
      <c r="AG543" s="186" t="s">
        <v>155</v>
      </c>
      <c r="AH543" s="189">
        <v>0.79900000000000004</v>
      </c>
      <c r="AI543" s="183">
        <f t="shared" si="370"/>
        <v>1151.6570177200945</v>
      </c>
      <c r="AJ543" s="186">
        <f t="shared" si="371"/>
        <v>0.10341649541757046</v>
      </c>
      <c r="AK543" s="186"/>
      <c r="AL543" s="186">
        <f t="shared" si="372"/>
        <v>161.09487333290971</v>
      </c>
      <c r="AM543" s="187">
        <f t="shared" si="373"/>
        <v>232197.79898945577</v>
      </c>
      <c r="AN543" s="186"/>
      <c r="AO543" s="188">
        <v>1.2913354531001999</v>
      </c>
      <c r="AQ543" s="186">
        <f t="shared" si="374"/>
        <v>1861.2960410433079</v>
      </c>
      <c r="AR543" s="186">
        <f t="shared" si="375"/>
        <v>1.9803997071837537E-3</v>
      </c>
      <c r="AS543" s="187">
        <f>AR543*'DADOS BASE'!W$38</f>
        <v>594069.9421107301</v>
      </c>
      <c r="AU543" s="188">
        <v>0</v>
      </c>
      <c r="AV543" s="188">
        <v>0</v>
      </c>
      <c r="AW543" s="186">
        <f t="shared" si="376"/>
        <v>0</v>
      </c>
      <c r="AX543" s="186">
        <f>IF($AW$11&gt;0,(AW543/$AW$11)*'DADOS BASE'!W$40,0)</f>
        <v>0</v>
      </c>
      <c r="AY543" s="186">
        <f t="shared" si="377"/>
        <v>0</v>
      </c>
      <c r="AZ543" s="186">
        <f t="shared" si="378"/>
        <v>0</v>
      </c>
      <c r="BA543" s="186">
        <f>AZ543*'DADOS BASE'!W$41</f>
        <v>0</v>
      </c>
      <c r="BC543" s="188">
        <v>0</v>
      </c>
      <c r="BD543" s="186">
        <f>IF($BC$11&gt;0,(BC543/$BC$11)*'DADOS BASE'!W$39,0)</f>
        <v>0</v>
      </c>
      <c r="BE543" s="187"/>
    </row>
    <row r="544" spans="2:57" x14ac:dyDescent="0.3">
      <c r="B544" s="223" t="s">
        <v>608</v>
      </c>
      <c r="C544" s="223" t="s">
        <v>645</v>
      </c>
      <c r="D544" s="223" t="s">
        <v>94</v>
      </c>
      <c r="E544" s="223">
        <v>0</v>
      </c>
      <c r="F544" s="224"/>
      <c r="G544" s="225"/>
      <c r="H544" s="226">
        <f ca="1">IF(AND(E544&gt;=2018,SUMIF('DADOS BASE'!$C$101:$D$104,D544,'DADOS BASE'!$H$101:$H$104)&gt;J544),
SUMIF('DADOS BASE'!$C$101:$D$104,D544,'DADOS BASE'!$H$101:$H$104),
J544)</f>
        <v>1362634.3354407572</v>
      </c>
      <c r="I544" s="225"/>
      <c r="J544" s="226">
        <f t="shared" si="367"/>
        <v>1362634.3354407572</v>
      </c>
      <c r="K544" s="226"/>
      <c r="L544" s="227">
        <v>1383.7558030933001</v>
      </c>
      <c r="M544" s="226">
        <f t="shared" si="368"/>
        <v>1.0795421490782061E-3</v>
      </c>
      <c r="N544" s="226">
        <f>L544*'DADOS BASE'!$I$29</f>
        <v>1362634.3354407572</v>
      </c>
      <c r="O544" s="228"/>
      <c r="P544" s="227">
        <v>0</v>
      </c>
      <c r="Q544" s="226">
        <f>P544*'DADOS BASE'!$I$33</f>
        <v>0</v>
      </c>
      <c r="R544" s="226"/>
      <c r="S544" s="227">
        <v>0</v>
      </c>
      <c r="T544" s="226">
        <f>S544*'DADOS BASE'!$I$37</f>
        <v>0</v>
      </c>
      <c r="U544" s="226"/>
      <c r="V544" s="226">
        <f t="shared" si="369"/>
        <v>0</v>
      </c>
      <c r="W544" s="228"/>
      <c r="X544" s="226"/>
      <c r="Y544" s="226"/>
      <c r="Z544" s="224"/>
      <c r="AA544" s="226"/>
      <c r="AB544" s="226"/>
      <c r="AC544" s="226"/>
      <c r="AD544" s="226"/>
      <c r="AE544" s="227">
        <v>1163</v>
      </c>
      <c r="AF544" s="227">
        <v>595.70087888260002</v>
      </c>
      <c r="AG544" s="226" t="s">
        <v>155</v>
      </c>
      <c r="AH544" s="229">
        <v>0.73899999999999999</v>
      </c>
      <c r="AI544" s="225">
        <f t="shared" si="370"/>
        <v>440.22294949424139</v>
      </c>
      <c r="AJ544" s="226">
        <f t="shared" si="371"/>
        <v>2.2488851632782383E-2</v>
      </c>
      <c r="AK544" s="226"/>
      <c r="AL544" s="226">
        <f t="shared" si="372"/>
        <v>175.63565894630673</v>
      </c>
      <c r="AM544" s="228">
        <f t="shared" si="373"/>
        <v>104626.31639743951</v>
      </c>
      <c r="AN544" s="226"/>
      <c r="AO544" s="227">
        <v>1.4777131782946</v>
      </c>
      <c r="AP544" s="225"/>
      <c r="AQ544" s="226">
        <f t="shared" si="374"/>
        <v>880.27503904649348</v>
      </c>
      <c r="AR544" s="226">
        <f t="shared" si="375"/>
        <v>9.3660352309763524E-4</v>
      </c>
      <c r="AS544" s="228">
        <f>AR544*'DADOS BASE'!W$38</f>
        <v>280957.42426591413</v>
      </c>
      <c r="AT544" s="225"/>
      <c r="AU544" s="227">
        <v>0</v>
      </c>
      <c r="AV544" s="227">
        <v>0</v>
      </c>
      <c r="AW544" s="226">
        <f t="shared" si="376"/>
        <v>0</v>
      </c>
      <c r="AX544" s="226">
        <f>IF($AW$11&gt;0,(AW544/$AW$11)*'DADOS BASE'!W$40,0)</f>
        <v>0</v>
      </c>
      <c r="AY544" s="226">
        <f t="shared" si="377"/>
        <v>0</v>
      </c>
      <c r="AZ544" s="226">
        <f t="shared" si="378"/>
        <v>0</v>
      </c>
      <c r="BA544" s="226">
        <f>AZ544*'DADOS BASE'!W$41</f>
        <v>0</v>
      </c>
      <c r="BB544" s="225"/>
      <c r="BC544" s="227">
        <v>0</v>
      </c>
      <c r="BD544" s="226">
        <f>IF($BC$11&gt;0,(BC544/$BC$11)*'DADOS BASE'!W$39,0)</f>
        <v>0</v>
      </c>
      <c r="BE544" s="187"/>
    </row>
    <row r="545" spans="2:57" x14ac:dyDescent="0.3">
      <c r="B545" s="184" t="s">
        <v>608</v>
      </c>
      <c r="C545" s="184" t="s">
        <v>646</v>
      </c>
      <c r="D545" s="184" t="s">
        <v>94</v>
      </c>
      <c r="E545" s="184">
        <v>2018</v>
      </c>
      <c r="F545" s="185"/>
      <c r="H545" s="186">
        <f ca="1">IF(AND(E545&gt;=2018,SUMIF('DADOS BASE'!$C$101:$D$104,D545,'DADOS BASE'!$H$101:$H$104)&gt;J545),
SUMIF('DADOS BASE'!$C$101:$D$104,D545,'DADOS BASE'!$H$101:$H$104),
J545)</f>
        <v>700000</v>
      </c>
      <c r="J545" s="186">
        <f t="shared" si="367"/>
        <v>158232.79284590893</v>
      </c>
      <c r="K545" s="186"/>
      <c r="L545" s="188">
        <v>160.68547492556999</v>
      </c>
      <c r="M545" s="186">
        <f t="shared" si="368"/>
        <v>1.2535936076222979E-4</v>
      </c>
      <c r="N545" s="186">
        <f>L545*'DADOS BASE'!$I$29</f>
        <v>158232.79284590893</v>
      </c>
      <c r="O545" s="187"/>
      <c r="P545" s="188">
        <v>0</v>
      </c>
      <c r="Q545" s="186">
        <f>P545*'DADOS BASE'!$I$33</f>
        <v>0</v>
      </c>
      <c r="R545" s="186"/>
      <c r="S545" s="188">
        <v>0</v>
      </c>
      <c r="T545" s="186">
        <f>S545*'DADOS BASE'!$I$37</f>
        <v>0</v>
      </c>
      <c r="U545" s="186"/>
      <c r="V545" s="186">
        <f t="shared" si="369"/>
        <v>0</v>
      </c>
      <c r="W545" s="187"/>
      <c r="X545" s="186"/>
      <c r="Y545" s="186"/>
      <c r="Z545" s="185"/>
      <c r="AA545" s="186"/>
      <c r="AB545" s="186"/>
      <c r="AC545" s="186"/>
      <c r="AD545" s="186"/>
      <c r="AE545" s="188">
        <v>452</v>
      </c>
      <c r="AF545" s="188">
        <v>130.89665819192999</v>
      </c>
      <c r="AG545" s="186" t="s">
        <v>155</v>
      </c>
      <c r="AH545" s="189">
        <v>0.71899999999999997</v>
      </c>
      <c r="AI545" s="183">
        <f t="shared" si="370"/>
        <v>94.114697239997653</v>
      </c>
      <c r="AJ545" s="186">
        <f t="shared" si="371"/>
        <v>-4.4870296288136444E-3</v>
      </c>
      <c r="AK545" s="186"/>
      <c r="AL545" s="186">
        <f t="shared" si="372"/>
        <v>180.48258748410575</v>
      </c>
      <c r="AM545" s="187">
        <f t="shared" si="373"/>
        <v>23624.567563502093</v>
      </c>
      <c r="AN545" s="186"/>
      <c r="AO545" s="188">
        <v>1.2770700636943</v>
      </c>
      <c r="AQ545" s="186">
        <f t="shared" si="374"/>
        <v>167.16420361453905</v>
      </c>
      <c r="AR545" s="186">
        <f t="shared" si="375"/>
        <v>1.7786098105289835E-4</v>
      </c>
      <c r="AS545" s="187">
        <f>AR545*'DADOS BASE'!W$38</f>
        <v>53353.806473800403</v>
      </c>
      <c r="AU545" s="188">
        <v>0</v>
      </c>
      <c r="AV545" s="188">
        <v>0</v>
      </c>
      <c r="AW545" s="186">
        <f t="shared" si="376"/>
        <v>0</v>
      </c>
      <c r="AX545" s="186">
        <f>IF($AW$11&gt;0,(AW545/$AW$11)*'DADOS BASE'!W$40,0)</f>
        <v>0</v>
      </c>
      <c r="AY545" s="186">
        <f t="shared" si="377"/>
        <v>0</v>
      </c>
      <c r="AZ545" s="186">
        <f t="shared" si="378"/>
        <v>0</v>
      </c>
      <c r="BA545" s="186">
        <f>AZ545*'DADOS BASE'!W$41</f>
        <v>0</v>
      </c>
      <c r="BC545" s="188">
        <v>0</v>
      </c>
      <c r="BD545" s="186">
        <f>IF($BC$11&gt;0,(BC545/$BC$11)*'DADOS BASE'!W$39,0)</f>
        <v>0</v>
      </c>
      <c r="BE545" s="187"/>
    </row>
    <row r="546" spans="2:57" x14ac:dyDescent="0.3">
      <c r="B546" s="223" t="s">
        <v>608</v>
      </c>
      <c r="C546" s="223" t="s">
        <v>647</v>
      </c>
      <c r="D546" s="223" t="s">
        <v>94</v>
      </c>
      <c r="E546" s="223">
        <v>0</v>
      </c>
      <c r="F546" s="224"/>
      <c r="G546" s="225"/>
      <c r="H546" s="226">
        <f ca="1">IF(AND(E546&gt;=2018,SUMIF('DADOS BASE'!$C$101:$D$104,D546,'DADOS BASE'!$H$101:$H$104)&gt;J546),
SUMIF('DADOS BASE'!$C$101:$D$104,D546,'DADOS BASE'!$H$101:$H$104),
J546)</f>
        <v>1887358.3337940995</v>
      </c>
      <c r="I546" s="225"/>
      <c r="J546" s="226">
        <f t="shared" si="367"/>
        <v>1887358.3337940995</v>
      </c>
      <c r="K546" s="226"/>
      <c r="L546" s="227">
        <v>1916.6132681218</v>
      </c>
      <c r="M546" s="226">
        <f t="shared" si="368"/>
        <v>1.4952528486563497E-3</v>
      </c>
      <c r="N546" s="226">
        <f>L546*'DADOS BASE'!$I$29</f>
        <v>1887358.3337940995</v>
      </c>
      <c r="O546" s="228"/>
      <c r="P546" s="227">
        <v>0</v>
      </c>
      <c r="Q546" s="226">
        <f>P546*'DADOS BASE'!$I$33</f>
        <v>0</v>
      </c>
      <c r="R546" s="226"/>
      <c r="S546" s="227">
        <v>0</v>
      </c>
      <c r="T546" s="226">
        <f>S546*'DADOS BASE'!$I$37</f>
        <v>0</v>
      </c>
      <c r="U546" s="226"/>
      <c r="V546" s="226">
        <f t="shared" si="369"/>
        <v>0</v>
      </c>
      <c r="W546" s="228"/>
      <c r="X546" s="226"/>
      <c r="Y546" s="226"/>
      <c r="Z546" s="224"/>
      <c r="AA546" s="226"/>
      <c r="AB546" s="226"/>
      <c r="AC546" s="226"/>
      <c r="AD546" s="226"/>
      <c r="AE546" s="227">
        <v>1247</v>
      </c>
      <c r="AF546" s="227">
        <v>766.90214764838004</v>
      </c>
      <c r="AG546" s="226" t="s">
        <v>155</v>
      </c>
      <c r="AH546" s="229">
        <v>0.77100000000000002</v>
      </c>
      <c r="AI546" s="225">
        <f t="shared" si="370"/>
        <v>591.28155583690102</v>
      </c>
      <c r="AJ546" s="226">
        <f t="shared" si="371"/>
        <v>6.5650261651336028E-2</v>
      </c>
      <c r="AK546" s="226"/>
      <c r="AL546" s="226">
        <f t="shared" si="372"/>
        <v>167.88057328582832</v>
      </c>
      <c r="AM546" s="228">
        <f t="shared" si="373"/>
        <v>128747.972201343</v>
      </c>
      <c r="AN546" s="226"/>
      <c r="AO546" s="227">
        <v>1.8282520325203</v>
      </c>
      <c r="AP546" s="225"/>
      <c r="AQ546" s="226">
        <f t="shared" si="374"/>
        <v>1402.0904101823339</v>
      </c>
      <c r="AR546" s="226">
        <f t="shared" si="375"/>
        <v>1.4918096726911996E-3</v>
      </c>
      <c r="AS546" s="228">
        <f>AR546*'DADOS BASE'!W$38</f>
        <v>447505.26001449127</v>
      </c>
      <c r="AT546" s="225"/>
      <c r="AU546" s="227">
        <v>0</v>
      </c>
      <c r="AV546" s="227">
        <v>0</v>
      </c>
      <c r="AW546" s="226">
        <f t="shared" si="376"/>
        <v>0</v>
      </c>
      <c r="AX546" s="226">
        <f>IF($AW$11&gt;0,(AW546/$AW$11)*'DADOS BASE'!W$40,0)</f>
        <v>0</v>
      </c>
      <c r="AY546" s="226">
        <f t="shared" si="377"/>
        <v>0</v>
      </c>
      <c r="AZ546" s="226">
        <f t="shared" si="378"/>
        <v>0</v>
      </c>
      <c r="BA546" s="226">
        <f>AZ546*'DADOS BASE'!W$41</f>
        <v>0</v>
      </c>
      <c r="BB546" s="225"/>
      <c r="BC546" s="227">
        <v>0</v>
      </c>
      <c r="BD546" s="226">
        <f>IF($BC$11&gt;0,(BC546/$BC$11)*'DADOS BASE'!W$39,0)</f>
        <v>0</v>
      </c>
      <c r="BE546" s="187"/>
    </row>
    <row r="547" spans="2:57" x14ac:dyDescent="0.3">
      <c r="F547" s="185"/>
      <c r="H547" s="186"/>
      <c r="J547" s="186"/>
      <c r="K547" s="186"/>
      <c r="L547" s="186"/>
      <c r="M547" s="186"/>
      <c r="N547" s="186"/>
      <c r="O547" s="187"/>
      <c r="P547" s="186"/>
      <c r="Q547" s="186"/>
      <c r="R547" s="186"/>
      <c r="S547" s="186"/>
      <c r="T547" s="186"/>
      <c r="U547" s="186"/>
      <c r="V547" s="186"/>
      <c r="W547" s="187"/>
      <c r="X547" s="186"/>
      <c r="Y547" s="186"/>
      <c r="Z547" s="185"/>
      <c r="AA547" s="186"/>
      <c r="AB547" s="186"/>
      <c r="AC547" s="186"/>
      <c r="AD547" s="186"/>
      <c r="AE547" s="186"/>
      <c r="AF547" s="186"/>
      <c r="AG547" s="186"/>
      <c r="AH547" s="185"/>
      <c r="AJ547" s="186"/>
      <c r="AK547" s="186"/>
      <c r="AL547" s="186"/>
      <c r="AM547" s="187"/>
      <c r="AN547" s="186"/>
      <c r="AO547" s="186"/>
      <c r="AQ547" s="186"/>
      <c r="AR547" s="186"/>
      <c r="AS547" s="187"/>
      <c r="AU547" s="186"/>
      <c r="AV547" s="186"/>
      <c r="AW547" s="186"/>
      <c r="AX547" s="186"/>
      <c r="AY547" s="186"/>
      <c r="AZ547" s="186"/>
      <c r="BA547" s="186"/>
      <c r="BC547" s="186"/>
      <c r="BD547" s="186"/>
      <c r="BE547" s="187"/>
    </row>
    <row r="548" spans="2:57" x14ac:dyDescent="0.3">
      <c r="B548" s="209" t="s">
        <v>608</v>
      </c>
      <c r="C548" s="209" t="s">
        <v>648</v>
      </c>
      <c r="D548" s="211" t="s">
        <v>154</v>
      </c>
      <c r="E548" s="211"/>
      <c r="F548" s="210"/>
      <c r="G548" s="211"/>
      <c r="H548" s="212">
        <f ca="1">SUM(H549:H562)</f>
        <v>28895049.159866888</v>
      </c>
      <c r="I548" s="211"/>
      <c r="J548" s="212">
        <f>SUM(J549:J562)</f>
        <v>28199098.887204599</v>
      </c>
      <c r="K548" s="212"/>
      <c r="L548" s="212">
        <f>SUM(L549:L562)</f>
        <v>28595.28740451681</v>
      </c>
      <c r="M548" s="212">
        <f>SUM(M549:M562)</f>
        <v>2.2308718018868266E-2</v>
      </c>
      <c r="N548" s="212">
        <f>SUM(N549:N562)</f>
        <v>28158812.676404003</v>
      </c>
      <c r="O548" s="214"/>
      <c r="P548" s="212">
        <f>SUM(P549:P562)</f>
        <v>0</v>
      </c>
      <c r="Q548" s="212">
        <f>SUM(Q549:Q562)</f>
        <v>0</v>
      </c>
      <c r="R548" s="212"/>
      <c r="S548" s="212">
        <f>SUM(S549:S562)</f>
        <v>51.138332318928398</v>
      </c>
      <c r="T548" s="212">
        <f>SUM(T549:T562)</f>
        <v>40286.21080059353</v>
      </c>
      <c r="U548" s="212"/>
      <c r="V548" s="212">
        <f>SUM(V549:V562)</f>
        <v>40286.21080059353</v>
      </c>
      <c r="W548" s="214"/>
      <c r="X548" s="212">
        <f>SUMIF(INDICADORES!$D$13:$D$53,C548,INDICADORES!$L$13:$L$53)</f>
        <v>1.721822630194441E-2</v>
      </c>
      <c r="Y548" s="212">
        <f>X548*'DADOS BASE'!$I$79</f>
        <v>714956.13904983352</v>
      </c>
      <c r="Z548" s="210">
        <f>SUMIF(INDICADORES!$D$13:$D$53,C548,INDICADORES!$R$13:$R$53)</f>
        <v>3.1821307811335887E-2</v>
      </c>
      <c r="AA548" s="212">
        <f>Z548*'DADOS BASE'!$I$84</f>
        <v>1321323.0546133444</v>
      </c>
      <c r="AB548" s="212">
        <f>SUMIF(INDICADORES!$D$13:$D$53,C548,INDICADORES!$Z$13:$Z$53)</f>
        <v>3.896783059388062E-2</v>
      </c>
      <c r="AC548" s="212">
        <f>AB548*'DADOS BASE'!$I$89</f>
        <v>3236139.335141934</v>
      </c>
      <c r="AD548" s="212"/>
      <c r="AE548" s="212">
        <f>SUM(AE549:AE562)</f>
        <v>18296</v>
      </c>
      <c r="AF548" s="212">
        <f>SUM(AF549:AF562)</f>
        <v>12173.60748805336</v>
      </c>
      <c r="AG548" s="212" t="s">
        <v>155</v>
      </c>
      <c r="AH548" s="210"/>
      <c r="AI548" s="211"/>
      <c r="AJ548" s="212"/>
      <c r="AK548" s="212"/>
      <c r="AL548" s="212"/>
      <c r="AM548" s="214">
        <f>SUM(AM549:AM562)</f>
        <v>2176394.0981524223</v>
      </c>
      <c r="AN548" s="212"/>
      <c r="AO548" s="212"/>
      <c r="AP548" s="211"/>
      <c r="AQ548" s="212">
        <f>SUM(AQ549:AQ562)</f>
        <v>21691.206252910244</v>
      </c>
      <c r="AR548" s="212"/>
      <c r="AS548" s="214">
        <f>SUM(AS549:AS562)</f>
        <v>6923183.2867141766</v>
      </c>
      <c r="AT548" s="211"/>
      <c r="AU548" s="212">
        <f t="shared" ref="AU548:BA548" si="379">SUM(AU549:AU562)</f>
        <v>51.138332318928398</v>
      </c>
      <c r="AV548" s="212">
        <f t="shared" si="379"/>
        <v>125</v>
      </c>
      <c r="AW548" s="212">
        <f t="shared" si="379"/>
        <v>12.7845830797321</v>
      </c>
      <c r="AX548" s="212">
        <f t="shared" si="379"/>
        <v>2297.0875343091429</v>
      </c>
      <c r="AY548" s="212">
        <f t="shared" si="379"/>
        <v>15.913654677783541</v>
      </c>
      <c r="AZ548" s="212">
        <f t="shared" si="379"/>
        <v>8.3228916005270975E-4</v>
      </c>
      <c r="BA548" s="212">
        <f t="shared" si="379"/>
        <v>6148.8306088509398</v>
      </c>
      <c r="BB548" s="211"/>
      <c r="BC548" s="212">
        <f>SUM(BC549:BC562)</f>
        <v>133.5</v>
      </c>
      <c r="BD548" s="212">
        <f>SUM(BD549:BD562)</f>
        <v>721327.73567061755</v>
      </c>
      <c r="BE548" s="187"/>
    </row>
    <row r="549" spans="2:57" x14ac:dyDescent="0.3">
      <c r="B549" s="216" t="s">
        <v>608</v>
      </c>
      <c r="C549" s="218" t="s">
        <v>156</v>
      </c>
      <c r="D549" s="218" t="s">
        <v>157</v>
      </c>
      <c r="E549" s="218"/>
      <c r="F549" s="217"/>
      <c r="G549" s="218"/>
      <c r="H549" s="219"/>
      <c r="I549" s="218"/>
      <c r="J549" s="219"/>
      <c r="K549" s="219"/>
      <c r="L549" s="219">
        <v>0</v>
      </c>
      <c r="M549" s="219">
        <v>0</v>
      </c>
      <c r="N549" s="219">
        <v>0</v>
      </c>
      <c r="O549" s="221"/>
      <c r="P549" s="219"/>
      <c r="Q549" s="219"/>
      <c r="R549" s="219"/>
      <c r="S549" s="219"/>
      <c r="T549" s="219"/>
      <c r="U549" s="219"/>
      <c r="V549" s="219"/>
      <c r="W549" s="221"/>
      <c r="X549" s="219"/>
      <c r="Y549" s="219"/>
      <c r="Z549" s="217"/>
      <c r="AA549" s="219"/>
      <c r="AB549" s="219"/>
      <c r="AC549" s="219"/>
      <c r="AD549" s="219"/>
      <c r="AE549" s="219"/>
      <c r="AF549" s="219"/>
      <c r="AG549" s="219" t="s">
        <v>155</v>
      </c>
      <c r="AH549" s="217"/>
      <c r="AI549" s="218"/>
      <c r="AJ549" s="219"/>
      <c r="AK549" s="219"/>
      <c r="AL549" s="219"/>
      <c r="AM549" s="221"/>
      <c r="AN549" s="219"/>
      <c r="AO549" s="219"/>
      <c r="AP549" s="218"/>
      <c r="AQ549" s="219"/>
      <c r="AR549" s="219"/>
      <c r="AS549" s="221"/>
      <c r="AT549" s="218"/>
      <c r="AU549" s="219"/>
      <c r="AV549" s="219"/>
      <c r="AW549" s="219"/>
      <c r="AX549" s="219"/>
      <c r="AY549" s="219"/>
      <c r="AZ549" s="219"/>
      <c r="BA549" s="219"/>
      <c r="BB549" s="218"/>
      <c r="BC549" s="219"/>
      <c r="BD549" s="219"/>
      <c r="BE549" s="187"/>
    </row>
    <row r="550" spans="2:57" x14ac:dyDescent="0.3">
      <c r="B550" s="223" t="s">
        <v>608</v>
      </c>
      <c r="C550" s="223" t="s">
        <v>649</v>
      </c>
      <c r="D550" s="223" t="s">
        <v>96</v>
      </c>
      <c r="E550" s="223">
        <v>2014</v>
      </c>
      <c r="F550" s="224"/>
      <c r="G550" s="225"/>
      <c r="H550" s="226">
        <f ca="1">IF(AND(E550&gt;=2018,SUMIF('DADOS BASE'!$C$101:$D$104,D550,'DADOS BASE'!$H$101:$H$104)&gt;J550),
SUMIF('DADOS BASE'!$C$101:$D$104,D550,'DADOS BASE'!$H$101:$H$104),
J550)</f>
        <v>696503.33464391832</v>
      </c>
      <c r="I550" s="225"/>
      <c r="J550" s="226">
        <f t="shared" ref="J550:J562" si="380">N550+Q550+T550</f>
        <v>696503.33464391832</v>
      </c>
      <c r="K550" s="226"/>
      <c r="L550" s="227">
        <v>702.78776302623999</v>
      </c>
      <c r="M550" s="226">
        <f t="shared" ref="M550:M562" si="381">L550/$L$11</f>
        <v>5.4828244286109586E-4</v>
      </c>
      <c r="N550" s="226">
        <f>L550*'DADOS BASE'!$I$29</f>
        <v>692060.50250080694</v>
      </c>
      <c r="O550" s="228"/>
      <c r="P550" s="227">
        <v>0</v>
      </c>
      <c r="Q550" s="226">
        <f>P550*'DADOS BASE'!$I$33</f>
        <v>0</v>
      </c>
      <c r="R550" s="226"/>
      <c r="S550" s="227">
        <v>5.6396226415094004</v>
      </c>
      <c r="T550" s="226">
        <f>S550*'DADOS BASE'!$I$37</f>
        <v>4442.8321431114036</v>
      </c>
      <c r="U550" s="226"/>
      <c r="V550" s="226">
        <f t="shared" ref="V550:V562" si="382">T550+Q550</f>
        <v>4442.8321431114036</v>
      </c>
      <c r="W550" s="228"/>
      <c r="X550" s="226"/>
      <c r="Y550" s="226"/>
      <c r="Z550" s="224"/>
      <c r="AA550" s="226"/>
      <c r="AB550" s="226"/>
      <c r="AC550" s="226"/>
      <c r="AD550" s="226"/>
      <c r="AE550" s="227">
        <v>198</v>
      </c>
      <c r="AF550" s="227">
        <v>187.41007014032999</v>
      </c>
      <c r="AG550" s="226" t="s">
        <v>155</v>
      </c>
      <c r="AH550" s="229">
        <v>0.69099999999999995</v>
      </c>
      <c r="AI550" s="225">
        <f t="shared" ref="AI550:AI562" si="383">AF550*AH550</f>
        <v>129.50035846696801</v>
      </c>
      <c r="AJ550" s="226">
        <f t="shared" ref="AJ550:AJ562" si="384">(AH550-$AI$12)*$AJ$12</f>
        <v>-4.2253263395048084E-2</v>
      </c>
      <c r="AK550" s="226"/>
      <c r="AL550" s="226">
        <f t="shared" ref="AL550:AL562" si="385">$AL$11-(AJ550*$AL$11)</f>
        <v>187.26828743702436</v>
      </c>
      <c r="AM550" s="228">
        <f t="shared" ref="AM550:AM562" si="386">AF550*AL550</f>
        <v>35095.962883632215</v>
      </c>
      <c r="AN550" s="226"/>
      <c r="AO550" s="227">
        <v>1.7710280373831999</v>
      </c>
      <c r="AP550" s="225"/>
      <c r="AQ550" s="226">
        <f t="shared" ref="AQ550:AQ562" si="387">AF550*AO550</f>
        <v>331.90848870647648</v>
      </c>
      <c r="AR550" s="226">
        <f t="shared" ref="AR550:AR562" si="388">AQ550/$AQ$11</f>
        <v>3.5314719386480127E-4</v>
      </c>
      <c r="AS550" s="228">
        <f>AR550*'DADOS BASE'!W$38</f>
        <v>105935.24744263319</v>
      </c>
      <c r="AT550" s="225"/>
      <c r="AU550" s="227">
        <v>5.6396226415094004</v>
      </c>
      <c r="AV550" s="227">
        <v>12.25</v>
      </c>
      <c r="AW550" s="226">
        <f t="shared" ref="AW550:AW562" si="389">AU550/4</f>
        <v>1.4099056603773501</v>
      </c>
      <c r="AX550" s="226">
        <f>IF($AW$11&gt;0,(AW550/$AW$11)*'DADOS BASE'!W$40,0)</f>
        <v>253.32673711817105</v>
      </c>
      <c r="AY550" s="226">
        <f t="shared" ref="AY550:AY562" si="390">AO550*AW550</f>
        <v>2.4969824545935628</v>
      </c>
      <c r="AZ550" s="226">
        <f t="shared" ref="AZ550:AZ562" si="391">IF($AY$11&gt;0,AY550/$AY$11,0)</f>
        <v>1.3059297011775323E-4</v>
      </c>
      <c r="BA550" s="226">
        <f>AZ550*'DADOS BASE'!W$41</f>
        <v>964.80176662392523</v>
      </c>
      <c r="BB550" s="225"/>
      <c r="BC550" s="227">
        <v>27.5</v>
      </c>
      <c r="BD550" s="226">
        <f>IF($BC$11&gt;0,(BC550/$BC$11)*'DADOS BASE'!W$39,0)</f>
        <v>148588.11034413468</v>
      </c>
      <c r="BE550" s="187"/>
    </row>
    <row r="551" spans="2:57" x14ac:dyDescent="0.3">
      <c r="B551" s="184" t="s">
        <v>608</v>
      </c>
      <c r="C551" s="184" t="s">
        <v>650</v>
      </c>
      <c r="D551" s="184" t="s">
        <v>98</v>
      </c>
      <c r="E551" s="184">
        <v>2015</v>
      </c>
      <c r="F551" s="185"/>
      <c r="H551" s="186">
        <f ca="1">IF(AND(E551&gt;=2018,SUMIF('DADOS BASE'!$C$101:$D$104,D551,'DADOS BASE'!$H$101:$H$104)&gt;J551),
SUMIF('DADOS BASE'!$C$101:$D$104,D551,'DADOS BASE'!$H$101:$H$104),
J551)</f>
        <v>823791.18130473746</v>
      </c>
      <c r="J551" s="186">
        <f t="shared" si="380"/>
        <v>823791.18130473746</v>
      </c>
      <c r="K551" s="186"/>
      <c r="L551" s="188">
        <v>836.56032878313999</v>
      </c>
      <c r="M551" s="186">
        <f t="shared" si="381"/>
        <v>6.5264559913627313E-4</v>
      </c>
      <c r="N551" s="186">
        <f>L551*'DADOS BASE'!$I$29</f>
        <v>823791.18130473746</v>
      </c>
      <c r="O551" s="187"/>
      <c r="P551" s="188">
        <v>0</v>
      </c>
      <c r="Q551" s="186">
        <f>P551*'DADOS BASE'!$I$33</f>
        <v>0</v>
      </c>
      <c r="R551" s="186"/>
      <c r="S551" s="188">
        <v>0</v>
      </c>
      <c r="T551" s="186">
        <f>S551*'DADOS BASE'!$I$37</f>
        <v>0</v>
      </c>
      <c r="U551" s="186"/>
      <c r="V551" s="186">
        <f t="shared" si="382"/>
        <v>0</v>
      </c>
      <c r="W551" s="187"/>
      <c r="X551" s="186"/>
      <c r="Y551" s="186"/>
      <c r="Z551" s="185"/>
      <c r="AA551" s="186"/>
      <c r="AB551" s="186"/>
      <c r="AC551" s="186"/>
      <c r="AD551" s="186"/>
      <c r="AE551" s="188">
        <v>480</v>
      </c>
      <c r="AF551" s="188">
        <v>410.15198075133998</v>
      </c>
      <c r="AG551" s="186" t="s">
        <v>155</v>
      </c>
      <c r="AH551" s="189">
        <v>0.76500000000000001</v>
      </c>
      <c r="AI551" s="183">
        <f t="shared" si="383"/>
        <v>313.76626527477509</v>
      </c>
      <c r="AJ551" s="186">
        <f t="shared" si="384"/>
        <v>5.7557497272857215E-2</v>
      </c>
      <c r="AK551" s="186"/>
      <c r="AL551" s="186">
        <f t="shared" si="385"/>
        <v>169.33465184716803</v>
      </c>
      <c r="AM551" s="187">
        <f t="shared" si="386"/>
        <v>69452.942864954515</v>
      </c>
      <c r="AN551" s="186"/>
      <c r="AO551" s="188">
        <v>1.8205128205128001</v>
      </c>
      <c r="AQ551" s="186">
        <f t="shared" si="387"/>
        <v>746.68693931653365</v>
      </c>
      <c r="AR551" s="186">
        <f t="shared" si="388"/>
        <v>7.944671687753241E-4</v>
      </c>
      <c r="AS551" s="187">
        <f>AR551*'DADOS BASE'!W$38</f>
        <v>238320.10439670307</v>
      </c>
      <c r="AU551" s="188">
        <v>0</v>
      </c>
      <c r="AV551" s="188">
        <v>0</v>
      </c>
      <c r="AW551" s="186">
        <f t="shared" si="389"/>
        <v>0</v>
      </c>
      <c r="AX551" s="186">
        <f>IF($AW$11&gt;0,(AW551/$AW$11)*'DADOS BASE'!W$40,0)</f>
        <v>0</v>
      </c>
      <c r="AY551" s="186">
        <f t="shared" si="390"/>
        <v>0</v>
      </c>
      <c r="AZ551" s="186">
        <f t="shared" si="391"/>
        <v>0</v>
      </c>
      <c r="BA551" s="186">
        <f>AZ551*'DADOS BASE'!W$41</f>
        <v>0</v>
      </c>
      <c r="BC551" s="188">
        <v>0</v>
      </c>
      <c r="BD551" s="186">
        <f>IF($BC$11&gt;0,(BC551/$BC$11)*'DADOS BASE'!W$39,0)</f>
        <v>0</v>
      </c>
      <c r="BE551" s="187"/>
    </row>
    <row r="552" spans="2:57" x14ac:dyDescent="0.3">
      <c r="B552" s="223" t="s">
        <v>608</v>
      </c>
      <c r="C552" s="223" t="s">
        <v>651</v>
      </c>
      <c r="D552" s="223" t="s">
        <v>98</v>
      </c>
      <c r="E552" s="223">
        <v>2014</v>
      </c>
      <c r="F552" s="224"/>
      <c r="G552" s="225"/>
      <c r="H552" s="226">
        <f ca="1">IF(AND(E552&gt;=2018,SUMIF('DADOS BASE'!$C$101:$D$104,D552,'DADOS BASE'!$H$101:$H$104)&gt;J552),
SUMIF('DADOS BASE'!$C$101:$D$104,D552,'DADOS BASE'!$H$101:$H$104),
J552)</f>
        <v>703370.10575832578</v>
      </c>
      <c r="I552" s="225"/>
      <c r="J552" s="226">
        <f t="shared" si="380"/>
        <v>703370.10575832578</v>
      </c>
      <c r="K552" s="226"/>
      <c r="L552" s="227">
        <v>713.61267040839004</v>
      </c>
      <c r="M552" s="226">
        <f t="shared" si="381"/>
        <v>5.5672753393336131E-4</v>
      </c>
      <c r="N552" s="226">
        <f>L552*'DADOS BASE'!$I$29</f>
        <v>702720.17991203093</v>
      </c>
      <c r="O552" s="228"/>
      <c r="P552" s="227">
        <v>0</v>
      </c>
      <c r="Q552" s="226">
        <f>P552*'DADOS BASE'!$I$33</f>
        <v>0</v>
      </c>
      <c r="R552" s="226"/>
      <c r="S552" s="227">
        <v>0.82499999999999996</v>
      </c>
      <c r="T552" s="226">
        <f>S552*'DADOS BASE'!$I$37</f>
        <v>649.92584629490557</v>
      </c>
      <c r="U552" s="226"/>
      <c r="V552" s="226">
        <f t="shared" si="382"/>
        <v>649.92584629490557</v>
      </c>
      <c r="W552" s="228"/>
      <c r="X552" s="226"/>
      <c r="Y552" s="226"/>
      <c r="Z552" s="224"/>
      <c r="AA552" s="226"/>
      <c r="AB552" s="226"/>
      <c r="AC552" s="226"/>
      <c r="AD552" s="226"/>
      <c r="AE552" s="227">
        <v>518</v>
      </c>
      <c r="AF552" s="227">
        <v>290.33592326058999</v>
      </c>
      <c r="AG552" s="226" t="s">
        <v>155</v>
      </c>
      <c r="AH552" s="229">
        <v>0.67100000000000004</v>
      </c>
      <c r="AI552" s="225">
        <f t="shared" si="383"/>
        <v>194.8154045078559</v>
      </c>
      <c r="AJ552" s="226">
        <f t="shared" si="384"/>
        <v>-6.9229144656643954E-2</v>
      </c>
      <c r="AK552" s="226"/>
      <c r="AL552" s="226">
        <f t="shared" si="385"/>
        <v>192.11521597482334</v>
      </c>
      <c r="AM552" s="228">
        <f t="shared" si="386"/>
        <v>55777.948602457982</v>
      </c>
      <c r="AN552" s="226"/>
      <c r="AO552" s="227">
        <v>1.9053784860558001</v>
      </c>
      <c r="AP552" s="225"/>
      <c r="AQ552" s="226">
        <f t="shared" si="387"/>
        <v>553.19982190987594</v>
      </c>
      <c r="AR552" s="226">
        <f t="shared" si="388"/>
        <v>5.8859888011706784E-4</v>
      </c>
      <c r="AS552" s="228">
        <f>AR552*'DADOS BASE'!W$38</f>
        <v>176564.81233015179</v>
      </c>
      <c r="AT552" s="225"/>
      <c r="AU552" s="227">
        <v>0.82499999999999996</v>
      </c>
      <c r="AV552" s="227">
        <v>2.75</v>
      </c>
      <c r="AW552" s="226">
        <f t="shared" si="389"/>
        <v>0.20624999999999999</v>
      </c>
      <c r="AX552" s="226">
        <f>IF($AW$11&gt;0,(AW552/$AW$11)*'DADOS BASE'!W$40,0)</f>
        <v>37.058252193014702</v>
      </c>
      <c r="AY552" s="226">
        <f t="shared" si="390"/>
        <v>0.39298431274900875</v>
      </c>
      <c r="AZ552" s="226">
        <f t="shared" si="391"/>
        <v>2.0553203534596191E-5</v>
      </c>
      <c r="BA552" s="226">
        <f>AZ552*'DADOS BASE'!W$41</f>
        <v>151.84406221927094</v>
      </c>
      <c r="BB552" s="225"/>
      <c r="BC552" s="227">
        <v>0</v>
      </c>
      <c r="BD552" s="226">
        <f>IF($BC$11&gt;0,(BC552/$BC$11)*'DADOS BASE'!W$39,0)</f>
        <v>0</v>
      </c>
      <c r="BE552" s="187"/>
    </row>
    <row r="553" spans="2:57" x14ac:dyDescent="0.3">
      <c r="B553" s="184" t="s">
        <v>608</v>
      </c>
      <c r="C553" s="184" t="s">
        <v>652</v>
      </c>
      <c r="D553" s="184" t="s">
        <v>92</v>
      </c>
      <c r="E553" s="184">
        <v>2009</v>
      </c>
      <c r="F553" s="185"/>
      <c r="H553" s="186">
        <f ca="1">IF(AND(E553&gt;=2018,SUMIF('DADOS BASE'!$C$101:$D$104,D553,'DADOS BASE'!$H$101:$H$104)&gt;J553),
SUMIF('DADOS BASE'!$C$101:$D$104,D553,'DADOS BASE'!$H$101:$H$104),
J553)</f>
        <v>2937296.7286241143</v>
      </c>
      <c r="J553" s="186">
        <f t="shared" si="380"/>
        <v>2937296.7286241143</v>
      </c>
      <c r="K553" s="186"/>
      <c r="L553" s="188">
        <v>2964.8752299598</v>
      </c>
      <c r="M553" s="186">
        <f t="shared" si="381"/>
        <v>2.3130582508449535E-3</v>
      </c>
      <c r="N553" s="186">
        <f>L553*'DADOS BASE'!$I$29</f>
        <v>2919619.7621067055</v>
      </c>
      <c r="O553" s="187"/>
      <c r="P553" s="188">
        <v>0</v>
      </c>
      <c r="Q553" s="186">
        <f>P553*'DADOS BASE'!$I$33</f>
        <v>0</v>
      </c>
      <c r="R553" s="186"/>
      <c r="S553" s="188">
        <v>22.438709677418998</v>
      </c>
      <c r="T553" s="186">
        <f>S553*'DADOS BASE'!$I$37</f>
        <v>17676.966517408764</v>
      </c>
      <c r="U553" s="186"/>
      <c r="V553" s="186">
        <f t="shared" si="382"/>
        <v>17676.966517408764</v>
      </c>
      <c r="W553" s="187"/>
      <c r="X553" s="186"/>
      <c r="Y553" s="186"/>
      <c r="Z553" s="185"/>
      <c r="AA553" s="186"/>
      <c r="AB553" s="186"/>
      <c r="AC553" s="186"/>
      <c r="AD553" s="186"/>
      <c r="AE553" s="188">
        <v>1428</v>
      </c>
      <c r="AF553" s="188">
        <v>1173.8367895136</v>
      </c>
      <c r="AG553" s="186" t="s">
        <v>155</v>
      </c>
      <c r="AH553" s="189">
        <v>0.73199999999999998</v>
      </c>
      <c r="AI553" s="183">
        <f t="shared" si="383"/>
        <v>859.24852992395518</v>
      </c>
      <c r="AJ553" s="186">
        <f t="shared" si="384"/>
        <v>1.3047293191223773E-2</v>
      </c>
      <c r="AK553" s="186"/>
      <c r="AL553" s="186">
        <f t="shared" si="385"/>
        <v>177.3320839345364</v>
      </c>
      <c r="AM553" s="187">
        <f t="shared" si="386"/>
        <v>208158.92408347246</v>
      </c>
      <c r="AN553" s="186"/>
      <c r="AO553" s="188">
        <v>1.9118257261411</v>
      </c>
      <c r="AQ553" s="186">
        <f t="shared" si="387"/>
        <v>2244.171372482976</v>
      </c>
      <c r="AR553" s="186">
        <f t="shared" si="388"/>
        <v>2.3877750937697493E-3</v>
      </c>
      <c r="AS553" s="187">
        <f>AR553*'DADOS BASE'!W$38</f>
        <v>716272.27906756115</v>
      </c>
      <c r="AU553" s="188">
        <v>22.438709677418998</v>
      </c>
      <c r="AV553" s="188">
        <v>43.25</v>
      </c>
      <c r="AW553" s="186">
        <f t="shared" si="389"/>
        <v>5.6096774193547496</v>
      </c>
      <c r="AX553" s="186">
        <f>IF($AW$11&gt;0,(AW553/$AW$11)*'DADOS BASE'!W$40,0)</f>
        <v>1007.9264995292519</v>
      </c>
      <c r="AY553" s="186">
        <f t="shared" si="390"/>
        <v>10.724725605675227</v>
      </c>
      <c r="AZ553" s="186">
        <f t="shared" si="391"/>
        <v>5.6090653258956155E-4</v>
      </c>
      <c r="BA553" s="186">
        <f>AZ553*'DADOS BASE'!W$41</f>
        <v>4143.8954414265345</v>
      </c>
      <c r="BC553" s="188">
        <v>106</v>
      </c>
      <c r="BD553" s="186">
        <f>IF($BC$11&gt;0,(BC553/$BC$11)*'DADOS BASE'!W$39,0)</f>
        <v>572739.62532648281</v>
      </c>
      <c r="BE553" s="187"/>
    </row>
    <row r="554" spans="2:57" x14ac:dyDescent="0.3">
      <c r="B554" s="223" t="s">
        <v>608</v>
      </c>
      <c r="C554" s="223" t="s">
        <v>653</v>
      </c>
      <c r="D554" s="223" t="s">
        <v>94</v>
      </c>
      <c r="E554" s="223">
        <v>2009</v>
      </c>
      <c r="F554" s="224"/>
      <c r="G554" s="225"/>
      <c r="H554" s="226">
        <f ca="1">IF(AND(E554&gt;=2018,SUMIF('DADOS BASE'!$C$101:$D$104,D554,'DADOS BASE'!$H$101:$H$104)&gt;J554),
SUMIF('DADOS BASE'!$C$101:$D$104,D554,'DADOS BASE'!$H$101:$H$104),
J554)</f>
        <v>2303034.8883019174</v>
      </c>
      <c r="I554" s="225"/>
      <c r="J554" s="226">
        <f t="shared" si="380"/>
        <v>2303034.8883019174</v>
      </c>
      <c r="K554" s="226"/>
      <c r="L554" s="227">
        <v>2337.9050030717999</v>
      </c>
      <c r="M554" s="226">
        <f t="shared" si="381"/>
        <v>1.8239251360065648E-3</v>
      </c>
      <c r="N554" s="226">
        <f>L554*'DADOS BASE'!$I$29</f>
        <v>2302219.5267856563</v>
      </c>
      <c r="O554" s="228"/>
      <c r="P554" s="227">
        <v>0</v>
      </c>
      <c r="Q554" s="226">
        <f>P554*'DADOS BASE'!$I$33</f>
        <v>0</v>
      </c>
      <c r="R554" s="226"/>
      <c r="S554" s="227">
        <v>1.0349999999999999</v>
      </c>
      <c r="T554" s="226">
        <f>S554*'DADOS BASE'!$I$37</f>
        <v>815.36151626088144</v>
      </c>
      <c r="U554" s="226"/>
      <c r="V554" s="226">
        <f t="shared" si="382"/>
        <v>815.36151626088144</v>
      </c>
      <c r="W554" s="228"/>
      <c r="X554" s="226"/>
      <c r="Y554" s="226"/>
      <c r="Z554" s="224"/>
      <c r="AA554" s="226"/>
      <c r="AB554" s="226"/>
      <c r="AC554" s="226"/>
      <c r="AD554" s="226"/>
      <c r="AE554" s="227">
        <v>1555</v>
      </c>
      <c r="AF554" s="227">
        <v>1004.4207488588</v>
      </c>
      <c r="AG554" s="226" t="s">
        <v>155</v>
      </c>
      <c r="AH554" s="229">
        <v>0.73499999999999999</v>
      </c>
      <c r="AI554" s="225">
        <f t="shared" si="383"/>
        <v>738.24925041121799</v>
      </c>
      <c r="AJ554" s="226">
        <f t="shared" si="384"/>
        <v>1.7093675380463177E-2</v>
      </c>
      <c r="AK554" s="226"/>
      <c r="AL554" s="226">
        <f t="shared" si="385"/>
        <v>176.60504465386654</v>
      </c>
      <c r="AM554" s="228">
        <f t="shared" si="386"/>
        <v>177385.77120347845</v>
      </c>
      <c r="AN554" s="226"/>
      <c r="AO554" s="227">
        <v>1.7716593245228001</v>
      </c>
      <c r="AP554" s="225"/>
      <c r="AQ554" s="226">
        <f t="shared" si="387"/>
        <v>1779.4913854598667</v>
      </c>
      <c r="AR554" s="226">
        <f t="shared" si="388"/>
        <v>1.893360401027541E-3</v>
      </c>
      <c r="AS554" s="228">
        <f>AR554*'DADOS BASE'!W$38</f>
        <v>567960.3464659648</v>
      </c>
      <c r="AT554" s="225"/>
      <c r="AU554" s="227">
        <v>1.0349999999999999</v>
      </c>
      <c r="AV554" s="227">
        <v>5.75</v>
      </c>
      <c r="AW554" s="226">
        <f t="shared" si="389"/>
        <v>0.25874999999999998</v>
      </c>
      <c r="AX554" s="226">
        <f>IF($AW$11&gt;0,(AW554/$AW$11)*'DADOS BASE'!W$40,0)</f>
        <v>46.491261842145718</v>
      </c>
      <c r="AY554" s="226">
        <f t="shared" si="390"/>
        <v>0.45841685022027451</v>
      </c>
      <c r="AZ554" s="226">
        <f t="shared" si="391"/>
        <v>2.3975345886855795E-5</v>
      </c>
      <c r="BA554" s="226">
        <f>AZ554*'DADOS BASE'!W$41</f>
        <v>177.12634949799312</v>
      </c>
      <c r="BB554" s="225"/>
      <c r="BC554" s="227">
        <v>0</v>
      </c>
      <c r="BD554" s="226">
        <f>IF($BC$11&gt;0,(BC554/$BC$11)*'DADOS BASE'!W$39,0)</f>
        <v>0</v>
      </c>
      <c r="BE554" s="187"/>
    </row>
    <row r="555" spans="2:57" x14ac:dyDescent="0.3">
      <c r="B555" s="184" t="s">
        <v>608</v>
      </c>
      <c r="C555" s="184" t="s">
        <v>654</v>
      </c>
      <c r="D555" s="184" t="s">
        <v>94</v>
      </c>
      <c r="E555" s="184">
        <v>2009</v>
      </c>
      <c r="F555" s="185"/>
      <c r="H555" s="186">
        <f ca="1">IF(AND(E555&gt;=2018,SUMIF('DADOS BASE'!$C$101:$D$104,D555,'DADOS BASE'!$H$101:$H$104)&gt;J555),
SUMIF('DADOS BASE'!$C$101:$D$104,D555,'DADOS BASE'!$H$101:$H$104),
J555)</f>
        <v>10424329.635207687</v>
      </c>
      <c r="J555" s="186">
        <f t="shared" si="380"/>
        <v>10424329.635207687</v>
      </c>
      <c r="K555" s="186"/>
      <c r="L555" s="188">
        <v>10585.911605853</v>
      </c>
      <c r="M555" s="186">
        <f t="shared" si="381"/>
        <v>8.258637643569787E-3</v>
      </c>
      <c r="N555" s="186">
        <f>L555*'DADOS BASE'!$I$29</f>
        <v>10424329.635207687</v>
      </c>
      <c r="O555" s="187"/>
      <c r="P555" s="188">
        <v>0</v>
      </c>
      <c r="Q555" s="186">
        <f>P555*'DADOS BASE'!$I$33</f>
        <v>0</v>
      </c>
      <c r="R555" s="186"/>
      <c r="S555" s="188">
        <v>0</v>
      </c>
      <c r="T555" s="186">
        <f>S555*'DADOS BASE'!$I$37</f>
        <v>0</v>
      </c>
      <c r="U555" s="186"/>
      <c r="V555" s="186">
        <f t="shared" si="382"/>
        <v>0</v>
      </c>
      <c r="W555" s="187"/>
      <c r="X555" s="186"/>
      <c r="Y555" s="186"/>
      <c r="Z555" s="185"/>
      <c r="AA555" s="186"/>
      <c r="AB555" s="186"/>
      <c r="AC555" s="186"/>
      <c r="AD555" s="186"/>
      <c r="AE555" s="188">
        <v>7224</v>
      </c>
      <c r="AF555" s="188">
        <v>4389.7765671846</v>
      </c>
      <c r="AG555" s="186" t="s">
        <v>155</v>
      </c>
      <c r="AH555" s="189">
        <v>0.71599999999999997</v>
      </c>
      <c r="AI555" s="183">
        <f t="shared" si="383"/>
        <v>3143.0800221041736</v>
      </c>
      <c r="AJ555" s="186">
        <f t="shared" si="384"/>
        <v>-8.5334118180530483E-3</v>
      </c>
      <c r="AK555" s="186"/>
      <c r="AL555" s="186">
        <f t="shared" si="385"/>
        <v>181.20962676477561</v>
      </c>
      <c r="AM555" s="187">
        <f t="shared" si="386"/>
        <v>795469.77332027932</v>
      </c>
      <c r="AN555" s="186"/>
      <c r="AO555" s="188">
        <v>1.7237340682053</v>
      </c>
      <c r="AQ555" s="186">
        <f t="shared" si="387"/>
        <v>7566.8074206654064</v>
      </c>
      <c r="AR555" s="186">
        <f t="shared" si="388"/>
        <v>8.0510047137917658E-3</v>
      </c>
      <c r="AS555" s="187">
        <f>AR555*'DADOS BASE'!W$38</f>
        <v>2415098.2687515141</v>
      </c>
      <c r="AU555" s="188">
        <v>0</v>
      </c>
      <c r="AV555" s="188">
        <v>0</v>
      </c>
      <c r="AW555" s="186">
        <f t="shared" si="389"/>
        <v>0</v>
      </c>
      <c r="AX555" s="186">
        <f>IF($AW$11&gt;0,(AW555/$AW$11)*'DADOS BASE'!W$40,0)</f>
        <v>0</v>
      </c>
      <c r="AY555" s="186">
        <f t="shared" si="390"/>
        <v>0</v>
      </c>
      <c r="AZ555" s="186">
        <f t="shared" si="391"/>
        <v>0</v>
      </c>
      <c r="BA555" s="186">
        <f>AZ555*'DADOS BASE'!W$41</f>
        <v>0</v>
      </c>
      <c r="BC555" s="188">
        <v>0</v>
      </c>
      <c r="BD555" s="186">
        <f>IF($BC$11&gt;0,(BC555/$BC$11)*'DADOS BASE'!W$39,0)</f>
        <v>0</v>
      </c>
      <c r="BE555" s="187"/>
    </row>
    <row r="556" spans="2:57" x14ac:dyDescent="0.3">
      <c r="B556" s="223" t="s">
        <v>608</v>
      </c>
      <c r="C556" s="223" t="s">
        <v>655</v>
      </c>
      <c r="D556" s="223" t="s">
        <v>94</v>
      </c>
      <c r="E556" s="223">
        <v>2009</v>
      </c>
      <c r="F556" s="224"/>
      <c r="G556" s="225"/>
      <c r="H556" s="226">
        <f ca="1">IF(AND(E556&gt;=2018,SUMIF('DADOS BASE'!$C$101:$D$104,D556,'DADOS BASE'!$H$101:$H$104)&gt;J556),
SUMIF('DADOS BASE'!$C$101:$D$104,D556,'DADOS BASE'!$H$101:$H$104),
J556)</f>
        <v>2384407.2969220579</v>
      </c>
      <c r="I556" s="225"/>
      <c r="J556" s="226">
        <f t="shared" si="380"/>
        <v>2384407.2969220579</v>
      </c>
      <c r="K556" s="226"/>
      <c r="L556" s="227">
        <v>2421.3667219729</v>
      </c>
      <c r="M556" s="226">
        <f t="shared" si="381"/>
        <v>1.8890381011604171E-3</v>
      </c>
      <c r="N556" s="226">
        <f>L556*'DADOS BASE'!$I$29</f>
        <v>2384407.2969220579</v>
      </c>
      <c r="O556" s="228"/>
      <c r="P556" s="227">
        <v>0</v>
      </c>
      <c r="Q556" s="226">
        <f>P556*'DADOS BASE'!$I$33</f>
        <v>0</v>
      </c>
      <c r="R556" s="226"/>
      <c r="S556" s="227">
        <v>0</v>
      </c>
      <c r="T556" s="226">
        <f>S556*'DADOS BASE'!$I$37</f>
        <v>0</v>
      </c>
      <c r="U556" s="226"/>
      <c r="V556" s="226">
        <f t="shared" si="382"/>
        <v>0</v>
      </c>
      <c r="W556" s="228"/>
      <c r="X556" s="226"/>
      <c r="Y556" s="226"/>
      <c r="Z556" s="224"/>
      <c r="AA556" s="226"/>
      <c r="AB556" s="226"/>
      <c r="AC556" s="226"/>
      <c r="AD556" s="226"/>
      <c r="AE556" s="227">
        <v>1668</v>
      </c>
      <c r="AF556" s="227">
        <v>1064.6039995244</v>
      </c>
      <c r="AG556" s="226" t="s">
        <v>155</v>
      </c>
      <c r="AH556" s="229">
        <v>0.71599999999999997</v>
      </c>
      <c r="AI556" s="225">
        <f t="shared" si="383"/>
        <v>762.25646365947034</v>
      </c>
      <c r="AJ556" s="226">
        <f t="shared" si="384"/>
        <v>-8.5334118180530483E-3</v>
      </c>
      <c r="AK556" s="226"/>
      <c r="AL556" s="226">
        <f t="shared" si="385"/>
        <v>181.20962676477561</v>
      </c>
      <c r="AM556" s="228">
        <f t="shared" si="386"/>
        <v>192916.49340610387</v>
      </c>
      <c r="AN556" s="226"/>
      <c r="AO556" s="227">
        <v>2.0409993593850002</v>
      </c>
      <c r="AP556" s="225"/>
      <c r="AQ556" s="226">
        <f t="shared" si="387"/>
        <v>2172.8560810280096</v>
      </c>
      <c r="AR556" s="226">
        <f t="shared" si="388"/>
        <v>2.3118963623907397E-3</v>
      </c>
      <c r="AS556" s="228">
        <f>AR556*'DADOS BASE'!W$38</f>
        <v>693510.57424895838</v>
      </c>
      <c r="AT556" s="225"/>
      <c r="AU556" s="227">
        <v>0</v>
      </c>
      <c r="AV556" s="227">
        <v>0</v>
      </c>
      <c r="AW556" s="226">
        <f t="shared" si="389"/>
        <v>0</v>
      </c>
      <c r="AX556" s="226">
        <f>IF($AW$11&gt;0,(AW556/$AW$11)*'DADOS BASE'!W$40,0)</f>
        <v>0</v>
      </c>
      <c r="AY556" s="226">
        <f t="shared" si="390"/>
        <v>0</v>
      </c>
      <c r="AZ556" s="226">
        <f t="shared" si="391"/>
        <v>0</v>
      </c>
      <c r="BA556" s="226">
        <f>AZ556*'DADOS BASE'!W$41</f>
        <v>0</v>
      </c>
      <c r="BB556" s="225"/>
      <c r="BC556" s="227">
        <v>0</v>
      </c>
      <c r="BD556" s="226">
        <f>IF($BC$11&gt;0,(BC556/$BC$11)*'DADOS BASE'!W$39,0)</f>
        <v>0</v>
      </c>
      <c r="BE556" s="187"/>
    </row>
    <row r="557" spans="2:57" x14ac:dyDescent="0.3">
      <c r="B557" s="184" t="s">
        <v>608</v>
      </c>
      <c r="C557" s="184" t="s">
        <v>656</v>
      </c>
      <c r="D557" s="184" t="s">
        <v>94</v>
      </c>
      <c r="E557" s="184">
        <v>2021</v>
      </c>
      <c r="F557" s="185"/>
      <c r="H557" s="186">
        <f ca="1">IF(AND(E557&gt;=2018,SUMIF('DADOS BASE'!$C$101:$D$104,D557,'DADOS BASE'!$H$101:$H$104)&gt;J557),
SUMIF('DADOS BASE'!$C$101:$D$104,D557,'DADOS BASE'!$H$101:$H$104),
J557)</f>
        <v>700000</v>
      </c>
      <c r="J557" s="186">
        <f t="shared" si="380"/>
        <v>4049.7273377087863</v>
      </c>
      <c r="K557" s="186"/>
      <c r="L557" s="188">
        <v>4.1124999999999998</v>
      </c>
      <c r="M557" s="186">
        <f t="shared" si="381"/>
        <v>3.2083819111433059E-6</v>
      </c>
      <c r="N557" s="186">
        <f>L557*'DADOS BASE'!$I$29</f>
        <v>4049.7273377087863</v>
      </c>
      <c r="O557" s="187"/>
      <c r="P557" s="188">
        <v>0</v>
      </c>
      <c r="Q557" s="186">
        <f>P557*'DADOS BASE'!$I$33</f>
        <v>0</v>
      </c>
      <c r="R557" s="186"/>
      <c r="S557" s="188">
        <v>0</v>
      </c>
      <c r="T557" s="186">
        <f>S557*'DADOS BASE'!$I$37</f>
        <v>0</v>
      </c>
      <c r="U557" s="186"/>
      <c r="V557" s="186">
        <f t="shared" si="382"/>
        <v>0</v>
      </c>
      <c r="W557" s="187"/>
      <c r="X557" s="186"/>
      <c r="Y557" s="186"/>
      <c r="Z557" s="185"/>
      <c r="AA557" s="186"/>
      <c r="AB557" s="186"/>
      <c r="AC557" s="186"/>
      <c r="AD557" s="186"/>
      <c r="AE557" s="188">
        <v>47</v>
      </c>
      <c r="AF557" s="188">
        <v>4.1124999999999998</v>
      </c>
      <c r="AG557" s="186" t="s">
        <v>155</v>
      </c>
      <c r="AH557" s="189">
        <v>0.69299999999999995</v>
      </c>
      <c r="AI557" s="183">
        <f t="shared" si="383"/>
        <v>2.8499624999999997</v>
      </c>
      <c r="AJ557" s="186">
        <f t="shared" si="384"/>
        <v>-3.9555675268888479E-2</v>
      </c>
      <c r="AK557" s="186"/>
      <c r="AL557" s="186">
        <f t="shared" si="385"/>
        <v>186.78359458324445</v>
      </c>
      <c r="AM557" s="187">
        <f t="shared" si="386"/>
        <v>768.1475327235928</v>
      </c>
      <c r="AN557" s="186"/>
      <c r="AO557" s="188">
        <v>1.7777777777778001</v>
      </c>
      <c r="AQ557" s="186">
        <f t="shared" si="387"/>
        <v>7.3111111111112024</v>
      </c>
      <c r="AR557" s="186">
        <f t="shared" si="388"/>
        <v>7.7789464890908355E-6</v>
      </c>
      <c r="AS557" s="187">
        <f>AR557*'DADOS BASE'!W$38</f>
        <v>2333.4876659966462</v>
      </c>
      <c r="AU557" s="188">
        <v>0</v>
      </c>
      <c r="AV557" s="188">
        <v>0</v>
      </c>
      <c r="AW557" s="186">
        <f t="shared" si="389"/>
        <v>0</v>
      </c>
      <c r="AX557" s="186">
        <f>IF($AW$11&gt;0,(AW557/$AW$11)*'DADOS BASE'!W$40,0)</f>
        <v>0</v>
      </c>
      <c r="AY557" s="186">
        <f t="shared" si="390"/>
        <v>0</v>
      </c>
      <c r="AZ557" s="186">
        <f t="shared" si="391"/>
        <v>0</v>
      </c>
      <c r="BA557" s="186">
        <f>AZ557*'DADOS BASE'!W$41</f>
        <v>0</v>
      </c>
      <c r="BC557" s="188">
        <v>0</v>
      </c>
      <c r="BD557" s="186">
        <f>IF($BC$11&gt;0,(BC557/$BC$11)*'DADOS BASE'!W$39,0)</f>
        <v>0</v>
      </c>
      <c r="BE557" s="187"/>
    </row>
    <row r="558" spans="2:57" x14ac:dyDescent="0.3">
      <c r="B558" s="223" t="s">
        <v>608</v>
      </c>
      <c r="C558" s="223" t="s">
        <v>657</v>
      </c>
      <c r="D558" s="223" t="s">
        <v>94</v>
      </c>
      <c r="E558" s="223">
        <v>2009</v>
      </c>
      <c r="F558" s="224"/>
      <c r="G558" s="225"/>
      <c r="H558" s="226">
        <f ca="1">IF(AND(E558&gt;=2018,SUMIF('DADOS BASE'!$C$101:$D$104,D558,'DADOS BASE'!$H$101:$H$104)&gt;J558),
SUMIF('DADOS BASE'!$C$101:$D$104,D558,'DADOS BASE'!$H$101:$H$104),
J558)</f>
        <v>2551531.1581598469</v>
      </c>
      <c r="I558" s="225"/>
      <c r="J558" s="226">
        <f t="shared" si="380"/>
        <v>2551531.1581598469</v>
      </c>
      <c r="K558" s="226"/>
      <c r="L558" s="227">
        <v>2591.0810809967002</v>
      </c>
      <c r="M558" s="226">
        <f t="shared" si="381"/>
        <v>2.0214413788633328E-3</v>
      </c>
      <c r="N558" s="226">
        <f>L558*'DADOS BASE'!$I$29</f>
        <v>2551531.1581598469</v>
      </c>
      <c r="O558" s="228"/>
      <c r="P558" s="227">
        <v>0</v>
      </c>
      <c r="Q558" s="226">
        <f>P558*'DADOS BASE'!$I$33</f>
        <v>0</v>
      </c>
      <c r="R558" s="226"/>
      <c r="S558" s="227">
        <v>0</v>
      </c>
      <c r="T558" s="226">
        <f>S558*'DADOS BASE'!$I$37</f>
        <v>0</v>
      </c>
      <c r="U558" s="226"/>
      <c r="V558" s="226">
        <f t="shared" si="382"/>
        <v>0</v>
      </c>
      <c r="W558" s="228"/>
      <c r="X558" s="226"/>
      <c r="Y558" s="226"/>
      <c r="Z558" s="224"/>
      <c r="AA558" s="226"/>
      <c r="AB558" s="226"/>
      <c r="AC558" s="226"/>
      <c r="AD558" s="226"/>
      <c r="AE558" s="227">
        <v>1687</v>
      </c>
      <c r="AF558" s="227">
        <v>1279.9325663746999</v>
      </c>
      <c r="AG558" s="226" t="s">
        <v>155</v>
      </c>
      <c r="AH558" s="229">
        <v>0.73</v>
      </c>
      <c r="AI558" s="225">
        <f t="shared" si="383"/>
        <v>934.35077345353091</v>
      </c>
      <c r="AJ558" s="226">
        <f t="shared" si="384"/>
        <v>1.034970506506417E-2</v>
      </c>
      <c r="AK558" s="226"/>
      <c r="AL558" s="226">
        <f t="shared" si="385"/>
        <v>177.8167767883163</v>
      </c>
      <c r="AM558" s="228">
        <f t="shared" si="386"/>
        <v>227593.48345914687</v>
      </c>
      <c r="AN558" s="226"/>
      <c r="AO558" s="227">
        <v>1.7754551584625999</v>
      </c>
      <c r="AP558" s="225"/>
      <c r="AQ558" s="226">
        <f t="shared" si="387"/>
        <v>2272.4628774542352</v>
      </c>
      <c r="AR558" s="226">
        <f t="shared" si="388"/>
        <v>2.4178769619977955E-3</v>
      </c>
      <c r="AS558" s="228">
        <f>AR558*'DADOS BASE'!W$38</f>
        <v>725302.07999653136</v>
      </c>
      <c r="AT558" s="225"/>
      <c r="AU558" s="227">
        <v>0</v>
      </c>
      <c r="AV558" s="227">
        <v>0</v>
      </c>
      <c r="AW558" s="226">
        <f t="shared" si="389"/>
        <v>0</v>
      </c>
      <c r="AX558" s="226">
        <f>IF($AW$11&gt;0,(AW558/$AW$11)*'DADOS BASE'!W$40,0)</f>
        <v>0</v>
      </c>
      <c r="AY558" s="226">
        <f t="shared" si="390"/>
        <v>0</v>
      </c>
      <c r="AZ558" s="226">
        <f t="shared" si="391"/>
        <v>0</v>
      </c>
      <c r="BA558" s="226">
        <f>AZ558*'DADOS BASE'!W$41</f>
        <v>0</v>
      </c>
      <c r="BB558" s="225"/>
      <c r="BC558" s="227">
        <v>0</v>
      </c>
      <c r="BD558" s="226">
        <f>IF($BC$11&gt;0,(BC558/$BC$11)*'DADOS BASE'!W$39,0)</f>
        <v>0</v>
      </c>
      <c r="BE558" s="187"/>
    </row>
    <row r="559" spans="2:57" x14ac:dyDescent="0.3">
      <c r="B559" s="184" t="s">
        <v>608</v>
      </c>
      <c r="C559" s="184" t="s">
        <v>658</v>
      </c>
      <c r="D559" s="184" t="s">
        <v>94</v>
      </c>
      <c r="E559" s="184">
        <v>2009</v>
      </c>
      <c r="F559" s="185"/>
      <c r="H559" s="186">
        <f ca="1">IF(AND(E559&gt;=2018,SUMIF('DADOS BASE'!$C$101:$D$104,D559,'DADOS BASE'!$H$101:$H$104)&gt;J559),
SUMIF('DADOS BASE'!$C$101:$D$104,D559,'DADOS BASE'!$H$101:$H$104),
J559)</f>
        <v>3394039.6288387915</v>
      </c>
      <c r="J559" s="186">
        <f t="shared" si="380"/>
        <v>3394039.6288387915</v>
      </c>
      <c r="K559" s="186"/>
      <c r="L559" s="188">
        <v>3446.6488258680001</v>
      </c>
      <c r="M559" s="186">
        <f t="shared" si="381"/>
        <v>2.6889156831557946E-3</v>
      </c>
      <c r="N559" s="186">
        <f>L559*'DADOS BASE'!$I$29</f>
        <v>3394039.6288387915</v>
      </c>
      <c r="O559" s="187"/>
      <c r="P559" s="188">
        <v>0</v>
      </c>
      <c r="Q559" s="186">
        <f>P559*'DADOS BASE'!$I$33</f>
        <v>0</v>
      </c>
      <c r="R559" s="186"/>
      <c r="S559" s="188">
        <v>0</v>
      </c>
      <c r="T559" s="186">
        <f>S559*'DADOS BASE'!$I$37</f>
        <v>0</v>
      </c>
      <c r="U559" s="186"/>
      <c r="V559" s="186">
        <f t="shared" si="382"/>
        <v>0</v>
      </c>
      <c r="W559" s="187"/>
      <c r="X559" s="186"/>
      <c r="Y559" s="186"/>
      <c r="Z559" s="185"/>
      <c r="AA559" s="186"/>
      <c r="AB559" s="186"/>
      <c r="AC559" s="186"/>
      <c r="AD559" s="186"/>
      <c r="AE559" s="188">
        <v>2204</v>
      </c>
      <c r="AF559" s="188">
        <v>1440.8918562319</v>
      </c>
      <c r="AG559" s="186" t="s">
        <v>155</v>
      </c>
      <c r="AH559" s="189">
        <v>0.76400000000000001</v>
      </c>
      <c r="AI559" s="183">
        <f t="shared" si="383"/>
        <v>1100.8413781611716</v>
      </c>
      <c r="AJ559" s="186">
        <f t="shared" si="384"/>
        <v>5.6208703209777416E-2</v>
      </c>
      <c r="AK559" s="186"/>
      <c r="AL559" s="186">
        <f t="shared" si="385"/>
        <v>169.57699827405798</v>
      </c>
      <c r="AM559" s="187">
        <f t="shared" si="386"/>
        <v>244342.11581734111</v>
      </c>
      <c r="AN559" s="186"/>
      <c r="AO559" s="188">
        <v>1.6371722846442001</v>
      </c>
      <c r="AQ559" s="186">
        <f t="shared" si="387"/>
        <v>2358.988212192402</v>
      </c>
      <c r="AR559" s="186">
        <f t="shared" si="388"/>
        <v>2.5099390218748436E-3</v>
      </c>
      <c r="AS559" s="187">
        <f>AR559*'DADOS BASE'!W$38</f>
        <v>752918.37502190622</v>
      </c>
      <c r="AU559" s="188">
        <v>0</v>
      </c>
      <c r="AV559" s="188">
        <v>0</v>
      </c>
      <c r="AW559" s="186">
        <f t="shared" si="389"/>
        <v>0</v>
      </c>
      <c r="AX559" s="186">
        <f>IF($AW$11&gt;0,(AW559/$AW$11)*'DADOS BASE'!W$40,0)</f>
        <v>0</v>
      </c>
      <c r="AY559" s="186">
        <f t="shared" si="390"/>
        <v>0</v>
      </c>
      <c r="AZ559" s="186">
        <f t="shared" si="391"/>
        <v>0</v>
      </c>
      <c r="BA559" s="186">
        <f>AZ559*'DADOS BASE'!W$41</f>
        <v>0</v>
      </c>
      <c r="BC559" s="188">
        <v>0</v>
      </c>
      <c r="BD559" s="186">
        <f>IF($BC$11&gt;0,(BC559/$BC$11)*'DADOS BASE'!W$39,0)</f>
        <v>0</v>
      </c>
      <c r="BE559" s="187"/>
    </row>
    <row r="560" spans="2:57" x14ac:dyDescent="0.3">
      <c r="B560" s="223" t="s">
        <v>608</v>
      </c>
      <c r="C560" s="223" t="s">
        <v>659</v>
      </c>
      <c r="D560" s="223" t="s">
        <v>94</v>
      </c>
      <c r="E560" s="223">
        <v>2013</v>
      </c>
      <c r="F560" s="224"/>
      <c r="G560" s="225"/>
      <c r="H560" s="226">
        <f ca="1">IF(AND(E560&gt;=2018,SUMIF('DADOS BASE'!$C$101:$D$104,D560,'DADOS BASE'!$H$101:$H$104)&gt;J560),
SUMIF('DADOS BASE'!$C$101:$D$104,D560,'DADOS BASE'!$H$101:$H$104),
J560)</f>
        <v>1033776.6745501024</v>
      </c>
      <c r="I560" s="225"/>
      <c r="J560" s="226">
        <f t="shared" si="380"/>
        <v>1033776.6745501024</v>
      </c>
      <c r="K560" s="226"/>
      <c r="L560" s="227">
        <v>1049.8006950987999</v>
      </c>
      <c r="M560" s="226">
        <f t="shared" si="381"/>
        <v>8.1900585056794131E-4</v>
      </c>
      <c r="N560" s="226">
        <f>L560*'DADOS BASE'!$I$29</f>
        <v>1033776.6745501024</v>
      </c>
      <c r="O560" s="228"/>
      <c r="P560" s="227">
        <v>0</v>
      </c>
      <c r="Q560" s="226">
        <f>P560*'DADOS BASE'!$I$33</f>
        <v>0</v>
      </c>
      <c r="R560" s="226"/>
      <c r="S560" s="227">
        <v>0</v>
      </c>
      <c r="T560" s="226">
        <f>S560*'DADOS BASE'!$I$37</f>
        <v>0</v>
      </c>
      <c r="U560" s="226"/>
      <c r="V560" s="226">
        <f t="shared" si="382"/>
        <v>0</v>
      </c>
      <c r="W560" s="228"/>
      <c r="X560" s="226"/>
      <c r="Y560" s="226"/>
      <c r="Z560" s="224"/>
      <c r="AA560" s="226"/>
      <c r="AB560" s="226"/>
      <c r="AC560" s="226"/>
      <c r="AD560" s="226"/>
      <c r="AE560" s="227">
        <v>745</v>
      </c>
      <c r="AF560" s="227">
        <v>499.72480634797</v>
      </c>
      <c r="AG560" s="226" t="s">
        <v>155</v>
      </c>
      <c r="AH560" s="229">
        <v>0.70399999999999996</v>
      </c>
      <c r="AI560" s="225">
        <f t="shared" si="383"/>
        <v>351.80626366897087</v>
      </c>
      <c r="AJ560" s="226">
        <f t="shared" si="384"/>
        <v>-2.4718940575010666E-2</v>
      </c>
      <c r="AK560" s="226"/>
      <c r="AL560" s="226">
        <f t="shared" si="385"/>
        <v>184.117783887455</v>
      </c>
      <c r="AM560" s="228">
        <f t="shared" si="386"/>
        <v>92008.223898375843</v>
      </c>
      <c r="AN560" s="226"/>
      <c r="AO560" s="227">
        <v>1.7259696458685001</v>
      </c>
      <c r="AP560" s="225"/>
      <c r="AQ560" s="226">
        <f t="shared" si="387"/>
        <v>862.50984704411053</v>
      </c>
      <c r="AR560" s="226">
        <f t="shared" si="388"/>
        <v>9.1770154283023957E-4</v>
      </c>
      <c r="AS560" s="228">
        <f>AR560*'DADOS BASE'!W$38</f>
        <v>275287.30712617852</v>
      </c>
      <c r="AT560" s="225"/>
      <c r="AU560" s="227">
        <v>0</v>
      </c>
      <c r="AV560" s="227">
        <v>0</v>
      </c>
      <c r="AW560" s="226">
        <f t="shared" si="389"/>
        <v>0</v>
      </c>
      <c r="AX560" s="226">
        <f>IF($AW$11&gt;0,(AW560/$AW$11)*'DADOS BASE'!W$40,0)</f>
        <v>0</v>
      </c>
      <c r="AY560" s="226">
        <f t="shared" si="390"/>
        <v>0</v>
      </c>
      <c r="AZ560" s="226">
        <f t="shared" si="391"/>
        <v>0</v>
      </c>
      <c r="BA560" s="226">
        <f>AZ560*'DADOS BASE'!W$41</f>
        <v>0</v>
      </c>
      <c r="BB560" s="225"/>
      <c r="BC560" s="227">
        <v>0</v>
      </c>
      <c r="BD560" s="226">
        <f>IF($BC$11&gt;0,(BC560/$BC$11)*'DADOS BASE'!W$39,0)</f>
        <v>0</v>
      </c>
      <c r="BE560" s="187"/>
    </row>
    <row r="561" spans="2:57" x14ac:dyDescent="0.3">
      <c r="B561" s="184" t="s">
        <v>608</v>
      </c>
      <c r="C561" s="184" t="s">
        <v>660</v>
      </c>
      <c r="D561" s="184" t="s">
        <v>94</v>
      </c>
      <c r="E561" s="184">
        <v>2015</v>
      </c>
      <c r="F561" s="185"/>
      <c r="H561" s="186">
        <f ca="1">IF(AND(E561&gt;=2018,SUMIF('DADOS BASE'!$C$101:$D$104,D561,'DADOS BASE'!$H$101:$H$104)&gt;J561),
SUMIF('DADOS BASE'!$C$101:$D$104,D561,'DADOS BASE'!$H$101:$H$104),
J561)</f>
        <v>926267.40277786867</v>
      </c>
      <c r="J561" s="186">
        <f t="shared" si="380"/>
        <v>926267.40277786867</v>
      </c>
      <c r="K561" s="186"/>
      <c r="L561" s="188">
        <v>940.62497947804002</v>
      </c>
      <c r="M561" s="186">
        <f t="shared" si="381"/>
        <v>7.338320168576017E-4</v>
      </c>
      <c r="N561" s="186">
        <f>L561*'DADOS BASE'!$I$29</f>
        <v>926267.40277786867</v>
      </c>
      <c r="O561" s="187"/>
      <c r="P561" s="188">
        <v>0</v>
      </c>
      <c r="Q561" s="186">
        <f>P561*'DADOS BASE'!$I$33</f>
        <v>0</v>
      </c>
      <c r="R561" s="186"/>
      <c r="S561" s="188">
        <v>0</v>
      </c>
      <c r="T561" s="186">
        <f>S561*'DADOS BASE'!$I$37</f>
        <v>0</v>
      </c>
      <c r="U561" s="186"/>
      <c r="V561" s="186">
        <f t="shared" si="382"/>
        <v>0</v>
      </c>
      <c r="W561" s="187"/>
      <c r="X561" s="186"/>
      <c r="Y561" s="186"/>
      <c r="Z561" s="185"/>
      <c r="AA561" s="186"/>
      <c r="AB561" s="186"/>
      <c r="AC561" s="186"/>
      <c r="AD561" s="186"/>
      <c r="AE561" s="188">
        <v>542</v>
      </c>
      <c r="AF561" s="188">
        <v>428.40967986512999</v>
      </c>
      <c r="AG561" s="186" t="s">
        <v>155</v>
      </c>
      <c r="AH561" s="189">
        <v>0.71799999999999997</v>
      </c>
      <c r="AI561" s="183">
        <f t="shared" si="383"/>
        <v>307.59815014316331</v>
      </c>
      <c r="AJ561" s="186">
        <f t="shared" si="384"/>
        <v>-5.8358236918934457E-3</v>
      </c>
      <c r="AK561" s="186"/>
      <c r="AL561" s="186">
        <f t="shared" si="385"/>
        <v>180.7249339109957</v>
      </c>
      <c r="AM561" s="187">
        <f t="shared" si="386"/>
        <v>77424.311080456449</v>
      </c>
      <c r="AN561" s="186"/>
      <c r="AO561" s="188">
        <v>1.8552631578947001</v>
      </c>
      <c r="AQ561" s="186">
        <f t="shared" si="387"/>
        <v>794.81269553923858</v>
      </c>
      <c r="AR561" s="186">
        <f t="shared" si="388"/>
        <v>8.4567247487913916E-4</v>
      </c>
      <c r="AS561" s="187">
        <f>AR561*'DADOS BASE'!W$38</f>
        <v>253680.40420007662</v>
      </c>
      <c r="AU561" s="188">
        <v>0</v>
      </c>
      <c r="AV561" s="188">
        <v>0</v>
      </c>
      <c r="AW561" s="186">
        <f t="shared" si="389"/>
        <v>0</v>
      </c>
      <c r="AX561" s="186">
        <f>IF($AW$11&gt;0,(AW561/$AW$11)*'DADOS BASE'!W$40,0)</f>
        <v>0</v>
      </c>
      <c r="AY561" s="186">
        <f t="shared" si="390"/>
        <v>0</v>
      </c>
      <c r="AZ561" s="186">
        <f t="shared" si="391"/>
        <v>0</v>
      </c>
      <c r="BA561" s="186">
        <f>AZ561*'DADOS BASE'!W$41</f>
        <v>0</v>
      </c>
      <c r="BC561" s="188">
        <v>0</v>
      </c>
      <c r="BD561" s="186">
        <f>IF($BC$11&gt;0,(BC561/$BC$11)*'DADOS BASE'!W$39,0)</f>
        <v>0</v>
      </c>
      <c r="BE561" s="187"/>
    </row>
    <row r="562" spans="2:57" x14ac:dyDescent="0.3">
      <c r="B562" s="223" t="s">
        <v>608</v>
      </c>
      <c r="C562" s="223" t="s">
        <v>661</v>
      </c>
      <c r="D562" s="223" t="s">
        <v>209</v>
      </c>
      <c r="E562" s="223">
        <v>0</v>
      </c>
      <c r="F562" s="224"/>
      <c r="G562" s="225"/>
      <c r="H562" s="226">
        <f ca="1">IF(AND(E562&gt;=2018,SUMIF('DADOS BASE'!$C$101:$D$104,D562,'DADOS BASE'!$H$101:$H$104)&gt;J562),
SUMIF('DADOS BASE'!$C$101:$D$104,D562,'DADOS BASE'!$H$101:$H$104),
J562)</f>
        <v>16701.124777517573</v>
      </c>
      <c r="I562" s="225"/>
      <c r="J562" s="226">
        <f t="shared" si="380"/>
        <v>16701.124777517573</v>
      </c>
      <c r="K562" s="226"/>
      <c r="L562" s="227">
        <v>0</v>
      </c>
      <c r="M562" s="226">
        <f t="shared" si="381"/>
        <v>0</v>
      </c>
      <c r="N562" s="226">
        <f>L562*'DADOS BASE'!$I$29</f>
        <v>0</v>
      </c>
      <c r="O562" s="228"/>
      <c r="P562" s="227">
        <v>0</v>
      </c>
      <c r="Q562" s="226">
        <f>P562*'DADOS BASE'!$I$33</f>
        <v>0</v>
      </c>
      <c r="R562" s="226"/>
      <c r="S562" s="227">
        <v>21.2</v>
      </c>
      <c r="T562" s="226">
        <f>S562*'DADOS BASE'!$I$37</f>
        <v>16701.124777517573</v>
      </c>
      <c r="U562" s="226"/>
      <c r="V562" s="226">
        <f t="shared" si="382"/>
        <v>16701.124777517573</v>
      </c>
      <c r="W562" s="228"/>
      <c r="X562" s="226"/>
      <c r="Y562" s="226"/>
      <c r="Z562" s="224"/>
      <c r="AA562" s="226"/>
      <c r="AB562" s="226"/>
      <c r="AC562" s="226"/>
      <c r="AD562" s="226"/>
      <c r="AE562" s="227">
        <v>0</v>
      </c>
      <c r="AF562" s="227">
        <v>0</v>
      </c>
      <c r="AG562" s="226" t="s">
        <v>155</v>
      </c>
      <c r="AH562" s="229">
        <v>0.71599999999999997</v>
      </c>
      <c r="AI562" s="225">
        <f t="shared" si="383"/>
        <v>0</v>
      </c>
      <c r="AJ562" s="226">
        <f t="shared" si="384"/>
        <v>-8.5334118180530483E-3</v>
      </c>
      <c r="AK562" s="226"/>
      <c r="AL562" s="226">
        <f t="shared" si="385"/>
        <v>181.20962676477561</v>
      </c>
      <c r="AM562" s="228">
        <f t="shared" si="386"/>
        <v>0</v>
      </c>
      <c r="AN562" s="226"/>
      <c r="AO562" s="227">
        <v>0.34727272727273001</v>
      </c>
      <c r="AP562" s="225"/>
      <c r="AQ562" s="226">
        <f t="shared" si="387"/>
        <v>0</v>
      </c>
      <c r="AR562" s="226">
        <f t="shared" si="388"/>
        <v>0</v>
      </c>
      <c r="AS562" s="228">
        <f>AR562*'DADOS BASE'!W$38</f>
        <v>0</v>
      </c>
      <c r="AT562" s="225"/>
      <c r="AU562" s="227">
        <v>21.2</v>
      </c>
      <c r="AV562" s="227">
        <v>61</v>
      </c>
      <c r="AW562" s="226">
        <f t="shared" si="389"/>
        <v>5.3</v>
      </c>
      <c r="AX562" s="226">
        <f>IF($AW$11&gt;0,(AW562/$AW$11)*'DADOS BASE'!W$40,0)</f>
        <v>952.2847836265596</v>
      </c>
      <c r="AY562" s="226">
        <f t="shared" si="390"/>
        <v>1.8405454545454689</v>
      </c>
      <c r="AZ562" s="226">
        <f t="shared" si="391"/>
        <v>9.6261107923942954E-5</v>
      </c>
      <c r="BA562" s="226">
        <f>AZ562*'DADOS BASE'!W$41</f>
        <v>711.16298908321596</v>
      </c>
      <c r="BB562" s="225"/>
      <c r="BC562" s="227">
        <v>0</v>
      </c>
      <c r="BD562" s="226">
        <f>IF($BC$11&gt;0,(BC562/$BC$11)*'DADOS BASE'!W$39,0)</f>
        <v>0</v>
      </c>
      <c r="BE562" s="187"/>
    </row>
    <row r="563" spans="2:57" x14ac:dyDescent="0.3">
      <c r="F563" s="185"/>
      <c r="H563" s="186"/>
      <c r="J563" s="186"/>
      <c r="K563" s="186"/>
      <c r="L563" s="186"/>
      <c r="M563" s="186"/>
      <c r="N563" s="186"/>
      <c r="O563" s="187"/>
      <c r="P563" s="186"/>
      <c r="Q563" s="186"/>
      <c r="R563" s="186"/>
      <c r="S563" s="186"/>
      <c r="T563" s="186"/>
      <c r="U563" s="186"/>
      <c r="V563" s="186"/>
      <c r="W563" s="187"/>
      <c r="X563" s="186"/>
      <c r="Y563" s="186"/>
      <c r="Z563" s="185"/>
      <c r="AA563" s="186"/>
      <c r="AB563" s="186"/>
      <c r="AC563" s="186"/>
      <c r="AD563" s="186"/>
      <c r="AE563" s="186"/>
      <c r="AF563" s="186"/>
      <c r="AG563" s="186"/>
      <c r="AH563" s="185"/>
      <c r="AJ563" s="186"/>
      <c r="AK563" s="186"/>
      <c r="AL563" s="186"/>
      <c r="AM563" s="187"/>
      <c r="AN563" s="186"/>
      <c r="AO563" s="186"/>
      <c r="AQ563" s="186"/>
      <c r="AR563" s="186"/>
      <c r="AS563" s="187"/>
      <c r="AU563" s="186"/>
      <c r="AV563" s="186"/>
      <c r="AW563" s="186"/>
      <c r="AX563" s="186"/>
      <c r="AY563" s="186"/>
      <c r="AZ563" s="186"/>
      <c r="BA563" s="186"/>
      <c r="BC563" s="186"/>
      <c r="BD563" s="186"/>
      <c r="BE563" s="187"/>
    </row>
    <row r="564" spans="2:57" x14ac:dyDescent="0.3">
      <c r="B564" s="209" t="s">
        <v>662</v>
      </c>
      <c r="C564" s="209" t="s">
        <v>663</v>
      </c>
      <c r="D564" s="211" t="s">
        <v>154</v>
      </c>
      <c r="E564" s="211"/>
      <c r="F564" s="210"/>
      <c r="G564" s="211"/>
      <c r="H564" s="212">
        <f ca="1">SUM(H565:H587)</f>
        <v>43809688.94348596</v>
      </c>
      <c r="I564" s="211"/>
      <c r="J564" s="212">
        <f>SUM(J565:J587)</f>
        <v>43123961.329259425</v>
      </c>
      <c r="K564" s="212"/>
      <c r="L564" s="212">
        <f>SUM(L565:L587)</f>
        <v>42192.695555127255</v>
      </c>
      <c r="M564" s="212">
        <f>SUM(M565:M587)</f>
        <v>3.2916785702479467E-2</v>
      </c>
      <c r="N564" s="212">
        <f>SUM(N565:N587)</f>
        <v>41548671.76686269</v>
      </c>
      <c r="O564" s="214"/>
      <c r="P564" s="212">
        <f>SUM(P565:P587)</f>
        <v>500.24658412285999</v>
      </c>
      <c r="Q564" s="212">
        <f>SUM(Q565:Q587)</f>
        <v>123152.72141749448</v>
      </c>
      <c r="R564" s="212"/>
      <c r="S564" s="212">
        <f>SUM(S565:S587)</f>
        <v>1843.307049007976</v>
      </c>
      <c r="T564" s="212">
        <f>SUM(T565:T587)</f>
        <v>1452136.8409792411</v>
      </c>
      <c r="U564" s="212"/>
      <c r="V564" s="212">
        <f>SUM(V565:V587)</f>
        <v>1575289.5623967357</v>
      </c>
      <c r="W564" s="214"/>
      <c r="X564" s="212">
        <f>SUMIF(INDICADORES!$D$13:$D$53,C564,INDICADORES!$L$13:$L$53)</f>
        <v>2.7648498004083814E-2</v>
      </c>
      <c r="Y564" s="212">
        <f>X564*'DADOS BASE'!$I$79</f>
        <v>1148054.5694357904</v>
      </c>
      <c r="Z564" s="210">
        <f>SUMIF(INDICADORES!$D$13:$D$53,C564,INDICADORES!$R$13:$R$53)</f>
        <v>3.3984755573385289E-2</v>
      </c>
      <c r="AA564" s="212">
        <f>Z564*'DADOS BASE'!$I$84</f>
        <v>1411156.3644947559</v>
      </c>
      <c r="AB564" s="212">
        <f>SUMIF(INDICADORES!$D$13:$D$53,C564,INDICADORES!$Z$13:$Z$53)</f>
        <v>3.8283392400637273E-2</v>
      </c>
      <c r="AC564" s="212">
        <f>AB564*'DADOS BASE'!$I$89</f>
        <v>3179299.1845389362</v>
      </c>
      <c r="AD564" s="212"/>
      <c r="AE564" s="212">
        <f>SUM(AE565:AE587)</f>
        <v>33713</v>
      </c>
      <c r="AF564" s="212">
        <f>SUM(AF565:AF587)</f>
        <v>20084.702664276294</v>
      </c>
      <c r="AG564" s="212" t="s">
        <v>155</v>
      </c>
      <c r="AH564" s="210"/>
      <c r="AI564" s="211"/>
      <c r="AJ564" s="212"/>
      <c r="AK564" s="212"/>
      <c r="AL564" s="212"/>
      <c r="AM564" s="214">
        <f>SUM(AM565:AM587)</f>
        <v>3768365.8394368174</v>
      </c>
      <c r="AN564" s="212"/>
      <c r="AO564" s="212"/>
      <c r="AP564" s="211"/>
      <c r="AQ564" s="212">
        <f>SUM(AQ565:AQ587)</f>
        <v>43579.658420248445</v>
      </c>
      <c r="AR564" s="212"/>
      <c r="AS564" s="214">
        <f>SUM(AS565:AS587)</f>
        <v>13909321.560911221</v>
      </c>
      <c r="AT564" s="211"/>
      <c r="AU564" s="212">
        <f t="shared" ref="AU564:BA564" si="392">SUM(AU565:AU587)</f>
        <v>1379.9880206999769</v>
      </c>
      <c r="AV564" s="212">
        <f t="shared" si="392"/>
        <v>1713.5</v>
      </c>
      <c r="AW564" s="212">
        <f t="shared" si="392"/>
        <v>344.99700517499423</v>
      </c>
      <c r="AX564" s="212">
        <f t="shared" si="392"/>
        <v>61987.811023562354</v>
      </c>
      <c r="AY564" s="212">
        <f t="shared" si="392"/>
        <v>667.82447570890804</v>
      </c>
      <c r="AZ564" s="212">
        <f t="shared" si="392"/>
        <v>3.4927430763366525E-2</v>
      </c>
      <c r="BA564" s="212">
        <f t="shared" si="392"/>
        <v>258038.75104261708</v>
      </c>
      <c r="BB564" s="211"/>
      <c r="BC564" s="212">
        <f>SUM(BC565:BC587)</f>
        <v>0</v>
      </c>
      <c r="BD564" s="212">
        <f>SUM(BD565:BD587)</f>
        <v>0</v>
      </c>
      <c r="BE564" s="187"/>
    </row>
    <row r="565" spans="2:57" x14ac:dyDescent="0.3">
      <c r="B565" s="216" t="s">
        <v>662</v>
      </c>
      <c r="C565" s="218" t="s">
        <v>156</v>
      </c>
      <c r="D565" s="218" t="s">
        <v>157</v>
      </c>
      <c r="E565" s="218"/>
      <c r="F565" s="217"/>
      <c r="G565" s="218"/>
      <c r="H565" s="219"/>
      <c r="I565" s="218"/>
      <c r="J565" s="219"/>
      <c r="K565" s="219"/>
      <c r="L565" s="219">
        <v>0</v>
      </c>
      <c r="M565" s="219">
        <v>0</v>
      </c>
      <c r="N565" s="219">
        <v>0</v>
      </c>
      <c r="O565" s="221"/>
      <c r="P565" s="219"/>
      <c r="Q565" s="219"/>
      <c r="R565" s="219"/>
      <c r="S565" s="219"/>
      <c r="T565" s="219"/>
      <c r="U565" s="219"/>
      <c r="V565" s="219"/>
      <c r="W565" s="221"/>
      <c r="X565" s="219"/>
      <c r="Y565" s="219"/>
      <c r="Z565" s="217"/>
      <c r="AA565" s="219"/>
      <c r="AB565" s="219"/>
      <c r="AC565" s="219"/>
      <c r="AD565" s="219"/>
      <c r="AE565" s="219"/>
      <c r="AF565" s="219"/>
      <c r="AG565" s="219" t="s">
        <v>155</v>
      </c>
      <c r="AH565" s="217"/>
      <c r="AI565" s="218"/>
      <c r="AJ565" s="219"/>
      <c r="AK565" s="219"/>
      <c r="AL565" s="219"/>
      <c r="AM565" s="221"/>
      <c r="AN565" s="219"/>
      <c r="AO565" s="219"/>
      <c r="AP565" s="218"/>
      <c r="AQ565" s="219"/>
      <c r="AR565" s="219"/>
      <c r="AS565" s="221"/>
      <c r="AT565" s="218"/>
      <c r="AU565" s="219"/>
      <c r="AV565" s="219"/>
      <c r="AW565" s="219"/>
      <c r="AX565" s="219"/>
      <c r="AY565" s="219"/>
      <c r="AZ565" s="219"/>
      <c r="BA565" s="219"/>
      <c r="BB565" s="218"/>
      <c r="BC565" s="219"/>
      <c r="BD565" s="219"/>
      <c r="BE565" s="187"/>
    </row>
    <row r="566" spans="2:57" x14ac:dyDescent="0.3">
      <c r="B566" s="223" t="s">
        <v>662</v>
      </c>
      <c r="C566" s="223" t="s">
        <v>664</v>
      </c>
      <c r="D566" s="223" t="s">
        <v>92</v>
      </c>
      <c r="E566" s="223">
        <v>2009</v>
      </c>
      <c r="F566" s="224"/>
      <c r="G566" s="225"/>
      <c r="H566" s="226">
        <f ca="1">IF(AND(E566&gt;=2018,SUMIF('DADOS BASE'!$C$101:$D$104,D566,'DADOS BASE'!$H$101:$H$104)&gt;J566),
SUMIF('DADOS BASE'!$C$101:$D$104,D566,'DADOS BASE'!$H$101:$H$104),
J566)</f>
        <v>2203808.8629283411</v>
      </c>
      <c r="I566" s="225"/>
      <c r="J566" s="226">
        <f t="shared" ref="J566:J587" si="393">N566+Q566+T566</f>
        <v>2203808.8629283411</v>
      </c>
      <c r="K566" s="226"/>
      <c r="L566" s="227">
        <v>2221.8089280316999</v>
      </c>
      <c r="M566" s="226">
        <f t="shared" ref="M566:M587" si="394">L566/$L$11</f>
        <v>1.733352358592974E-3</v>
      </c>
      <c r="N566" s="226">
        <f>L566*'DADOS BASE'!$I$29</f>
        <v>2187895.5270554232</v>
      </c>
      <c r="O566" s="228"/>
      <c r="P566" s="227">
        <v>0</v>
      </c>
      <c r="Q566" s="226">
        <f>P566*'DADOS BASE'!$I$33</f>
        <v>0</v>
      </c>
      <c r="R566" s="226"/>
      <c r="S566" s="227">
        <v>20.2</v>
      </c>
      <c r="T566" s="226">
        <f>S566*'DADOS BASE'!$I$37</f>
        <v>15913.335872917687</v>
      </c>
      <c r="U566" s="226"/>
      <c r="V566" s="226">
        <f t="shared" ref="V566:V587" si="395">T566+Q566</f>
        <v>15913.335872917687</v>
      </c>
      <c r="W566" s="228"/>
      <c r="X566" s="226"/>
      <c r="Y566" s="226"/>
      <c r="Z566" s="224"/>
      <c r="AA566" s="226"/>
      <c r="AB566" s="226"/>
      <c r="AC566" s="226"/>
      <c r="AD566" s="226"/>
      <c r="AE566" s="227">
        <v>1135</v>
      </c>
      <c r="AF566" s="227">
        <v>781.53222651875001</v>
      </c>
      <c r="AG566" s="226" t="s">
        <v>155</v>
      </c>
      <c r="AH566" s="229">
        <v>0.63900000000000001</v>
      </c>
      <c r="AI566" s="225">
        <f t="shared" ref="AI566:AI587" si="396">AF566*AH566</f>
        <v>499.39909274548125</v>
      </c>
      <c r="AJ566" s="226">
        <f t="shared" ref="AJ566:AJ587" si="397">(AH566-$AI$12)*$AJ$12</f>
        <v>-0.1123905546751976</v>
      </c>
      <c r="AK566" s="226"/>
      <c r="AL566" s="226">
        <f t="shared" ref="AL566:AL587" si="398">$AL$11-(AJ566*$AL$11)</f>
        <v>199.87030163530176</v>
      </c>
      <c r="AM566" s="228">
        <f t="shared" ref="AM566:AM587" si="399">AF566*AL566</f>
        <v>156205.08185201156</v>
      </c>
      <c r="AN566" s="226"/>
      <c r="AO566" s="227">
        <v>2.2977232924694002</v>
      </c>
      <c r="AP566" s="225"/>
      <c r="AQ566" s="226">
        <f t="shared" ref="AQ566:AQ587" si="400">AF566*AO566</f>
        <v>1795.7448006876034</v>
      </c>
      <c r="AR566" s="226">
        <f t="shared" ref="AR566:AR587" si="401">AQ566/$AQ$11</f>
        <v>1.9106538664666569E-3</v>
      </c>
      <c r="AS566" s="228">
        <f>AR566*'DADOS BASE'!W$38</f>
        <v>573147.94974374899</v>
      </c>
      <c r="AT566" s="225"/>
      <c r="AU566" s="227">
        <v>20.2</v>
      </c>
      <c r="AV566" s="227">
        <v>25.25</v>
      </c>
      <c r="AW566" s="226">
        <f t="shared" ref="AW566:AW587" si="402">AU566/4</f>
        <v>5.05</v>
      </c>
      <c r="AX566" s="226">
        <f>IF($AW$11&gt;0,(AW566/$AW$11)*'DADOS BASE'!W$40,0)</f>
        <v>907.36569005926913</v>
      </c>
      <c r="AY566" s="226">
        <f t="shared" ref="AY566:AY587" si="403">AO566*AW566</f>
        <v>11.603502626970471</v>
      </c>
      <c r="AZ566" s="226">
        <f t="shared" ref="AZ566:AZ587" si="404">IF($AY$11&gt;0,AY566/$AY$11,0)</f>
        <v>6.068668480379366E-4</v>
      </c>
      <c r="BA566" s="226">
        <f>AZ566*'DADOS BASE'!W$41</f>
        <v>4483.4435311836041</v>
      </c>
      <c r="BB566" s="225"/>
      <c r="BC566" s="227">
        <v>0</v>
      </c>
      <c r="BD566" s="226">
        <f>IF($BC$11&gt;0,(BC566/$BC$11)*'DADOS BASE'!W$39,0)</f>
        <v>0</v>
      </c>
      <c r="BE566" s="187"/>
    </row>
    <row r="567" spans="2:57" x14ac:dyDescent="0.3">
      <c r="B567" s="184" t="s">
        <v>662</v>
      </c>
      <c r="C567" s="184" t="s">
        <v>665</v>
      </c>
      <c r="D567" s="184" t="s">
        <v>98</v>
      </c>
      <c r="E567" s="184">
        <v>2018</v>
      </c>
      <c r="F567" s="185"/>
      <c r="H567" s="186">
        <f ca="1">IF(AND(E567&gt;=2018,SUMIF('DADOS BASE'!$C$101:$D$104,D567,'DADOS BASE'!$H$101:$H$104)&gt;J567),
SUMIF('DADOS BASE'!$C$101:$D$104,D567,'DADOS BASE'!$H$101:$H$104),
J567)</f>
        <v>700000</v>
      </c>
      <c r="J567" s="186">
        <f t="shared" si="393"/>
        <v>14272.385773468684</v>
      </c>
      <c r="K567" s="186"/>
      <c r="L567" s="188">
        <v>10.654838898562</v>
      </c>
      <c r="M567" s="186">
        <f t="shared" si="394"/>
        <v>8.3124115229890299E-6</v>
      </c>
      <c r="N567" s="186">
        <f>L567*'DADOS BASE'!$I$29</f>
        <v>10492.204830733011</v>
      </c>
      <c r="O567" s="187"/>
      <c r="P567" s="188">
        <v>0</v>
      </c>
      <c r="Q567" s="186">
        <f>P567*'DADOS BASE'!$I$33</f>
        <v>0</v>
      </c>
      <c r="R567" s="186"/>
      <c r="S567" s="188">
        <v>4.7984693877550999</v>
      </c>
      <c r="T567" s="186">
        <f>S567*'DADOS BASE'!$I$37</f>
        <v>3780.1809427356734</v>
      </c>
      <c r="U567" s="186"/>
      <c r="V567" s="186">
        <f t="shared" si="395"/>
        <v>3780.1809427356734</v>
      </c>
      <c r="W567" s="187"/>
      <c r="X567" s="186"/>
      <c r="Y567" s="186"/>
      <c r="Z567" s="185"/>
      <c r="AA567" s="186"/>
      <c r="AB567" s="186"/>
      <c r="AC567" s="186"/>
      <c r="AD567" s="186"/>
      <c r="AE567" s="188">
        <v>230</v>
      </c>
      <c r="AF567" s="188">
        <v>9.4852082556067003</v>
      </c>
      <c r="AG567" s="186" t="s">
        <v>155</v>
      </c>
      <c r="AH567" s="189">
        <v>0.60099999999999998</v>
      </c>
      <c r="AI567" s="183">
        <f t="shared" si="396"/>
        <v>5.7006101616196263</v>
      </c>
      <c r="AJ567" s="186">
        <f t="shared" si="397"/>
        <v>-0.16364472907223004</v>
      </c>
      <c r="AK567" s="186"/>
      <c r="AL567" s="186">
        <f t="shared" si="398"/>
        <v>209.07946585711986</v>
      </c>
      <c r="AM567" s="187">
        <f t="shared" si="399"/>
        <v>1983.1622756257925</v>
      </c>
      <c r="AN567" s="186"/>
      <c r="AO567" s="188">
        <v>2.0827067669172998</v>
      </c>
      <c r="AQ567" s="186">
        <f t="shared" si="400"/>
        <v>19.754907419571911</v>
      </c>
      <c r="AR567" s="186">
        <f t="shared" si="401"/>
        <v>2.1019016860548988E-5</v>
      </c>
      <c r="AS567" s="187">
        <f>AR567*'DADOS BASE'!W$38</f>
        <v>6305.1746999739362</v>
      </c>
      <c r="AU567" s="188">
        <v>4.7984693877550999</v>
      </c>
      <c r="AV567" s="188">
        <v>41.25</v>
      </c>
      <c r="AW567" s="186">
        <f t="shared" si="402"/>
        <v>1.199617346938775</v>
      </c>
      <c r="AX567" s="186">
        <f>IF($AW$11&gt;0,(AW567/$AW$11)*'DADOS BASE'!W$40,0)</f>
        <v>215.54289540835074</v>
      </c>
      <c r="AY567" s="186">
        <f t="shared" si="403"/>
        <v>2.4984511661807649</v>
      </c>
      <c r="AZ567" s="186">
        <f t="shared" si="404"/>
        <v>1.3066978419710979E-4</v>
      </c>
      <c r="BA567" s="186">
        <f>AZ567*'DADOS BASE'!W$41</f>
        <v>965.36925780969102</v>
      </c>
      <c r="BC567" s="188">
        <v>0</v>
      </c>
      <c r="BD567" s="186">
        <f>IF($BC$11&gt;0,(BC567/$BC$11)*'DADOS BASE'!W$39,0)</f>
        <v>0</v>
      </c>
      <c r="BE567" s="187"/>
    </row>
    <row r="568" spans="2:57" x14ac:dyDescent="0.3">
      <c r="B568" s="223" t="s">
        <v>662</v>
      </c>
      <c r="C568" s="223" t="s">
        <v>666</v>
      </c>
      <c r="D568" s="223" t="s">
        <v>98</v>
      </c>
      <c r="E568" s="223">
        <v>2015</v>
      </c>
      <c r="F568" s="224"/>
      <c r="G568" s="225"/>
      <c r="H568" s="226">
        <f ca="1">IF(AND(E568&gt;=2018,SUMIF('DADOS BASE'!$C$101:$D$104,D568,'DADOS BASE'!$H$101:$H$104)&gt;J568),
SUMIF('DADOS BASE'!$C$101:$D$104,D568,'DADOS BASE'!$H$101:$H$104),
J568)</f>
        <v>683198.70400660322</v>
      </c>
      <c r="I568" s="225"/>
      <c r="J568" s="226">
        <f t="shared" si="393"/>
        <v>683198.70400660322</v>
      </c>
      <c r="K568" s="226"/>
      <c r="L568" s="227">
        <v>676.26860252275003</v>
      </c>
      <c r="M568" s="226">
        <f t="shared" si="394"/>
        <v>5.275934228348094E-4</v>
      </c>
      <c r="N568" s="226">
        <f>L568*'DADOS BASE'!$I$29</f>
        <v>665946.12699586572</v>
      </c>
      <c r="O568" s="228"/>
      <c r="P568" s="227">
        <v>0</v>
      </c>
      <c r="Q568" s="226">
        <f>P568*'DADOS BASE'!$I$33</f>
        <v>0</v>
      </c>
      <c r="R568" s="226"/>
      <c r="S568" s="227">
        <v>21.9</v>
      </c>
      <c r="T568" s="226">
        <f>S568*'DADOS BASE'!$I$37</f>
        <v>17252.577010737492</v>
      </c>
      <c r="U568" s="226"/>
      <c r="V568" s="226">
        <f t="shared" si="395"/>
        <v>17252.577010737492</v>
      </c>
      <c r="W568" s="228"/>
      <c r="X568" s="226"/>
      <c r="Y568" s="226"/>
      <c r="Z568" s="224"/>
      <c r="AA568" s="226"/>
      <c r="AB568" s="226"/>
      <c r="AC568" s="226"/>
      <c r="AD568" s="226"/>
      <c r="AE568" s="227">
        <v>647</v>
      </c>
      <c r="AF568" s="227">
        <v>461.62604665189002</v>
      </c>
      <c r="AG568" s="226" t="s">
        <v>155</v>
      </c>
      <c r="AH568" s="229">
        <v>0.624</v>
      </c>
      <c r="AI568" s="225">
        <f t="shared" si="396"/>
        <v>288.05465311077938</v>
      </c>
      <c r="AJ568" s="226">
        <f t="shared" si="397"/>
        <v>-0.13262246562139463</v>
      </c>
      <c r="AK568" s="226"/>
      <c r="AL568" s="226">
        <f t="shared" si="398"/>
        <v>203.50549803865101</v>
      </c>
      <c r="AM568" s="228">
        <f t="shared" si="399"/>
        <v>93943.438531506428</v>
      </c>
      <c r="AN568" s="226"/>
      <c r="AO568" s="227">
        <v>2.3212735166425</v>
      </c>
      <c r="AP568" s="225"/>
      <c r="AQ568" s="226">
        <f t="shared" si="400"/>
        <v>1071.5603166854075</v>
      </c>
      <c r="AR568" s="226">
        <f t="shared" si="401"/>
        <v>1.1401290770510668E-3</v>
      </c>
      <c r="AS568" s="228">
        <f>AR568*'DADOS BASE'!W$38</f>
        <v>342009.95503360865</v>
      </c>
      <c r="AT568" s="225"/>
      <c r="AU568" s="227">
        <v>21.9</v>
      </c>
      <c r="AV568" s="227">
        <v>29.25</v>
      </c>
      <c r="AW568" s="226">
        <f t="shared" si="402"/>
        <v>5.4749999999999996</v>
      </c>
      <c r="AX568" s="226">
        <f>IF($AW$11&gt;0,(AW568/$AW$11)*'DADOS BASE'!W$40,0)</f>
        <v>983.728149123663</v>
      </c>
      <c r="AY568" s="226">
        <f t="shared" si="403"/>
        <v>12.708972503617687</v>
      </c>
      <c r="AZ568" s="226">
        <f t="shared" si="404"/>
        <v>6.6468327133778113E-4</v>
      </c>
      <c r="BA568" s="226">
        <f>AZ568*'DADOS BASE'!W$41</f>
        <v>4910.5828120290407</v>
      </c>
      <c r="BB568" s="225"/>
      <c r="BC568" s="227">
        <v>0</v>
      </c>
      <c r="BD568" s="226">
        <f>IF($BC$11&gt;0,(BC568/$BC$11)*'DADOS BASE'!W$39,0)</f>
        <v>0</v>
      </c>
      <c r="BE568" s="187"/>
    </row>
    <row r="569" spans="2:57" x14ac:dyDescent="0.3">
      <c r="B569" s="184" t="s">
        <v>662</v>
      </c>
      <c r="C569" s="184" t="s">
        <v>667</v>
      </c>
      <c r="D569" s="184" t="s">
        <v>98</v>
      </c>
      <c r="E569" s="184">
        <v>2018</v>
      </c>
      <c r="F569" s="185"/>
      <c r="H569" s="186">
        <f ca="1">IF(AND(E569&gt;=2018,SUMIF('DADOS BASE'!$C$101:$D$104,D569,'DADOS BASE'!$H$101:$H$104)&gt;J569),
SUMIF('DADOS BASE'!$C$101:$D$104,D569,'DADOS BASE'!$H$101:$H$104),
J569)</f>
        <v>1193457.3845534325</v>
      </c>
      <c r="J569" s="186">
        <f t="shared" si="393"/>
        <v>1193457.3845534325</v>
      </c>
      <c r="K569" s="186"/>
      <c r="L569" s="188">
        <v>0</v>
      </c>
      <c r="M569" s="186">
        <f t="shared" si="394"/>
        <v>0</v>
      </c>
      <c r="N569" s="186">
        <f>L569*'DADOS BASE'!$I$29</f>
        <v>0</v>
      </c>
      <c r="O569" s="187"/>
      <c r="P569" s="188">
        <v>500.24658412285999</v>
      </c>
      <c r="Q569" s="186">
        <f>P569*'DADOS BASE'!$I$33</f>
        <v>123152.72141749448</v>
      </c>
      <c r="R569" s="186"/>
      <c r="S569" s="188">
        <v>1358.6186056777999</v>
      </c>
      <c r="T569" s="186">
        <f>S569*'DADOS BASE'!$I$37</f>
        <v>1070304.6631359379</v>
      </c>
      <c r="U569" s="186"/>
      <c r="V569" s="186">
        <f t="shared" si="395"/>
        <v>1193457.3845534325</v>
      </c>
      <c r="W569" s="187"/>
      <c r="X569" s="186"/>
      <c r="Y569" s="186"/>
      <c r="Z569" s="185"/>
      <c r="AA569" s="186"/>
      <c r="AB569" s="186"/>
      <c r="AC569" s="186"/>
      <c r="AD569" s="186"/>
      <c r="AE569" s="188">
        <v>0</v>
      </c>
      <c r="AF569" s="188">
        <v>0</v>
      </c>
      <c r="AG569" s="186" t="s">
        <v>155</v>
      </c>
      <c r="AH569" s="189">
        <v>0.76300000000000001</v>
      </c>
      <c r="AI569" s="183">
        <f t="shared" si="396"/>
        <v>0</v>
      </c>
      <c r="AJ569" s="186">
        <f t="shared" si="397"/>
        <v>5.4859909146697611E-2</v>
      </c>
      <c r="AK569" s="186"/>
      <c r="AL569" s="186">
        <f t="shared" si="398"/>
        <v>169.81934470094794</v>
      </c>
      <c r="AM569" s="187">
        <f t="shared" si="399"/>
        <v>0</v>
      </c>
      <c r="AN569" s="186"/>
      <c r="AO569" s="188">
        <v>1.7957170356112</v>
      </c>
      <c r="AQ569" s="186">
        <f t="shared" si="400"/>
        <v>0</v>
      </c>
      <c r="AR569" s="186">
        <f t="shared" si="401"/>
        <v>0</v>
      </c>
      <c r="AS569" s="187">
        <f>AR569*'DADOS BASE'!W$38</f>
        <v>0</v>
      </c>
      <c r="AU569" s="188">
        <v>912.97661837353996</v>
      </c>
      <c r="AV569" s="188">
        <v>946</v>
      </c>
      <c r="AW569" s="186">
        <f t="shared" si="402"/>
        <v>228.24415459338499</v>
      </c>
      <c r="AX569" s="186">
        <f>IF($AW$11&gt;0,(AW569/$AW$11)*'DADOS BASE'!W$40,0)</f>
        <v>41010.082145469562</v>
      </c>
      <c r="AY569" s="186">
        <f t="shared" si="403"/>
        <v>409.86191668201775</v>
      </c>
      <c r="AZ569" s="186">
        <f t="shared" si="404"/>
        <v>2.1435907544801774E-2</v>
      </c>
      <c r="BA569" s="186">
        <f>AZ569*'DADOS BASE'!W$41</f>
        <v>158365.35036888928</v>
      </c>
      <c r="BC569" s="188">
        <v>0</v>
      </c>
      <c r="BD569" s="186">
        <f>IF($BC$11&gt;0,(BC569/$BC$11)*'DADOS BASE'!W$39,0)</f>
        <v>0</v>
      </c>
      <c r="BE569" s="187"/>
    </row>
    <row r="570" spans="2:57" x14ac:dyDescent="0.3">
      <c r="B570" s="223" t="s">
        <v>662</v>
      </c>
      <c r="C570" s="223" t="s">
        <v>668</v>
      </c>
      <c r="D570" s="223" t="s">
        <v>98</v>
      </c>
      <c r="E570" s="223">
        <v>2015</v>
      </c>
      <c r="F570" s="224"/>
      <c r="G570" s="225"/>
      <c r="H570" s="226">
        <f ca="1">IF(AND(E570&gt;=2018,SUMIF('DADOS BASE'!$C$101:$D$104,D570,'DADOS BASE'!$H$101:$H$104)&gt;J570),
SUMIF('DADOS BASE'!$C$101:$D$104,D570,'DADOS BASE'!$H$101:$H$104),
J570)</f>
        <v>744090.00137483468</v>
      </c>
      <c r="I570" s="225"/>
      <c r="J570" s="226">
        <f t="shared" si="393"/>
        <v>744090.00137483468</v>
      </c>
      <c r="K570" s="226"/>
      <c r="L570" s="227">
        <v>755.62374339634005</v>
      </c>
      <c r="M570" s="226">
        <f t="shared" si="394"/>
        <v>5.8950262612600813E-4</v>
      </c>
      <c r="N570" s="226">
        <f>L570*'DADOS BASE'!$I$29</f>
        <v>744090.00137483468</v>
      </c>
      <c r="O570" s="228"/>
      <c r="P570" s="227">
        <v>0</v>
      </c>
      <c r="Q570" s="226">
        <f>P570*'DADOS BASE'!$I$33</f>
        <v>0</v>
      </c>
      <c r="R570" s="226"/>
      <c r="S570" s="227">
        <v>0</v>
      </c>
      <c r="T570" s="226">
        <f>S570*'DADOS BASE'!$I$37</f>
        <v>0</v>
      </c>
      <c r="U570" s="226"/>
      <c r="V570" s="226">
        <f t="shared" si="395"/>
        <v>0</v>
      </c>
      <c r="W570" s="228"/>
      <c r="X570" s="226"/>
      <c r="Y570" s="226"/>
      <c r="Z570" s="224"/>
      <c r="AA570" s="226"/>
      <c r="AB570" s="226"/>
      <c r="AC570" s="226"/>
      <c r="AD570" s="226"/>
      <c r="AE570" s="227">
        <v>637</v>
      </c>
      <c r="AF570" s="227">
        <v>431.99968245682999</v>
      </c>
      <c r="AG570" s="226" t="s">
        <v>155</v>
      </c>
      <c r="AH570" s="229">
        <v>0.67600000000000005</v>
      </c>
      <c r="AI570" s="225">
        <f t="shared" si="396"/>
        <v>292.03178534081707</v>
      </c>
      <c r="AJ570" s="226">
        <f t="shared" si="397"/>
        <v>-6.2485174341244953E-2</v>
      </c>
      <c r="AK570" s="226"/>
      <c r="AL570" s="226">
        <f t="shared" si="398"/>
        <v>190.90348384037358</v>
      </c>
      <c r="AM570" s="228">
        <f t="shared" si="399"/>
        <v>82470.244398943963</v>
      </c>
      <c r="AN570" s="226"/>
      <c r="AO570" s="227">
        <v>2.1268115942028998</v>
      </c>
      <c r="AP570" s="225"/>
      <c r="AQ570" s="226">
        <f t="shared" si="400"/>
        <v>918.78193334115701</v>
      </c>
      <c r="AR570" s="226">
        <f t="shared" si="401"/>
        <v>9.7757445974829406E-4</v>
      </c>
      <c r="AS570" s="228">
        <f>AR570*'DADOS BASE'!W$38</f>
        <v>293247.67147004628</v>
      </c>
      <c r="AT570" s="225"/>
      <c r="AU570" s="227">
        <v>0</v>
      </c>
      <c r="AV570" s="227">
        <v>14.25</v>
      </c>
      <c r="AW570" s="226">
        <f t="shared" si="402"/>
        <v>0</v>
      </c>
      <c r="AX570" s="226">
        <f>IF($AW$11&gt;0,(AW570/$AW$11)*'DADOS BASE'!W$40,0)</f>
        <v>0</v>
      </c>
      <c r="AY570" s="226">
        <f t="shared" si="403"/>
        <v>0</v>
      </c>
      <c r="AZ570" s="226">
        <f t="shared" si="404"/>
        <v>0</v>
      </c>
      <c r="BA570" s="226">
        <f>AZ570*'DADOS BASE'!W$41</f>
        <v>0</v>
      </c>
      <c r="BB570" s="225"/>
      <c r="BC570" s="227">
        <v>0</v>
      </c>
      <c r="BD570" s="226">
        <f>IF($BC$11&gt;0,(BC570/$BC$11)*'DADOS BASE'!W$39,0)</f>
        <v>0</v>
      </c>
      <c r="BE570" s="187"/>
    </row>
    <row r="571" spans="2:57" x14ac:dyDescent="0.3">
      <c r="B571" s="184" t="s">
        <v>662</v>
      </c>
      <c r="C571" s="184" t="s">
        <v>669</v>
      </c>
      <c r="D571" s="184" t="s">
        <v>94</v>
      </c>
      <c r="E571" s="184">
        <v>2009</v>
      </c>
      <c r="F571" s="185"/>
      <c r="H571" s="186">
        <f ca="1">IF(AND(E571&gt;=2018,SUMIF('DADOS BASE'!$C$101:$D$104,D571,'DADOS BASE'!$H$101:$H$104)&gt;J571),
SUMIF('DADOS BASE'!$C$101:$D$104,D571,'DADOS BASE'!$H$101:$H$104),
J571)</f>
        <v>2228456.5082302373</v>
      </c>
      <c r="J571" s="186">
        <f t="shared" si="393"/>
        <v>2228456.5082302373</v>
      </c>
      <c r="K571" s="186"/>
      <c r="L571" s="188">
        <v>2237.2386233299999</v>
      </c>
      <c r="M571" s="186">
        <f t="shared" si="394"/>
        <v>1.7453898917940726E-3</v>
      </c>
      <c r="N571" s="186">
        <f>L571*'DADOS BASE'!$I$29</f>
        <v>2203089.7055021208</v>
      </c>
      <c r="O571" s="187"/>
      <c r="P571" s="188">
        <v>0</v>
      </c>
      <c r="Q571" s="186">
        <f>P571*'DADOS BASE'!$I$33</f>
        <v>0</v>
      </c>
      <c r="R571" s="186"/>
      <c r="S571" s="188">
        <v>32.200000000000003</v>
      </c>
      <c r="T571" s="186">
        <f>S571*'DADOS BASE'!$I$37</f>
        <v>25366.802728116316</v>
      </c>
      <c r="U571" s="186"/>
      <c r="V571" s="186">
        <f t="shared" si="395"/>
        <v>25366.802728116316</v>
      </c>
      <c r="W571" s="187"/>
      <c r="X571" s="186"/>
      <c r="Y571" s="186"/>
      <c r="Z571" s="185"/>
      <c r="AA571" s="186"/>
      <c r="AB571" s="186"/>
      <c r="AC571" s="186"/>
      <c r="AD571" s="186"/>
      <c r="AE571" s="188">
        <v>1576</v>
      </c>
      <c r="AF571" s="188">
        <v>1015.0249914269</v>
      </c>
      <c r="AG571" s="186" t="s">
        <v>155</v>
      </c>
      <c r="AH571" s="189">
        <v>0.71</v>
      </c>
      <c r="AI571" s="183">
        <f t="shared" si="396"/>
        <v>720.667743913099</v>
      </c>
      <c r="AJ571" s="186">
        <f t="shared" si="397"/>
        <v>-1.6626176196531856E-2</v>
      </c>
      <c r="AK571" s="186"/>
      <c r="AL571" s="186">
        <f t="shared" si="398"/>
        <v>182.66370532611529</v>
      </c>
      <c r="AM571" s="187">
        <f t="shared" si="399"/>
        <v>185408.22593264596</v>
      </c>
      <c r="AN571" s="186"/>
      <c r="AO571" s="188">
        <v>2.1949423815620999</v>
      </c>
      <c r="AQ571" s="186">
        <f t="shared" si="400"/>
        <v>2227.9213720276098</v>
      </c>
      <c r="AR571" s="186">
        <f t="shared" si="401"/>
        <v>2.3704852616130631E-3</v>
      </c>
      <c r="AS571" s="187">
        <f>AR571*'DADOS BASE'!W$38</f>
        <v>711085.76568282966</v>
      </c>
      <c r="AU571" s="188">
        <v>32.200000000000003</v>
      </c>
      <c r="AV571" s="188">
        <v>40.25</v>
      </c>
      <c r="AW571" s="186">
        <f t="shared" si="402"/>
        <v>8.0500000000000007</v>
      </c>
      <c r="AX571" s="186">
        <f>IF($AW$11&gt;0,(AW571/$AW$11)*'DADOS BASE'!W$40,0)</f>
        <v>1446.394812866756</v>
      </c>
      <c r="AY571" s="186">
        <f t="shared" si="403"/>
        <v>17.669286171574907</v>
      </c>
      <c r="AZ571" s="186">
        <f t="shared" si="404"/>
        <v>9.2410924104074433E-4</v>
      </c>
      <c r="BA571" s="186">
        <f>AZ571*'DADOS BASE'!W$41</f>
        <v>6827.1839403428985</v>
      </c>
      <c r="BC571" s="188">
        <v>0</v>
      </c>
      <c r="BD571" s="186">
        <f>IF($BC$11&gt;0,(BC571/$BC$11)*'DADOS BASE'!W$39,0)</f>
        <v>0</v>
      </c>
      <c r="BE571" s="187"/>
    </row>
    <row r="572" spans="2:57" x14ac:dyDescent="0.3">
      <c r="B572" s="223" t="s">
        <v>662</v>
      </c>
      <c r="C572" s="223" t="s">
        <v>670</v>
      </c>
      <c r="D572" s="223" t="s">
        <v>98</v>
      </c>
      <c r="E572" s="223">
        <v>2013</v>
      </c>
      <c r="F572" s="224"/>
      <c r="G572" s="225"/>
      <c r="H572" s="226">
        <f ca="1">IF(AND(E572&gt;=2018,SUMIF('DADOS BASE'!$C$101:$D$104,D572,'DADOS BASE'!$H$101:$H$104)&gt;J572),
SUMIF('DADOS BASE'!$C$101:$D$104,D572,'DADOS BASE'!$H$101:$H$104),
J572)</f>
        <v>1213255.6669655251</v>
      </c>
      <c r="I572" s="225"/>
      <c r="J572" s="226">
        <f t="shared" si="393"/>
        <v>1213255.6669655251</v>
      </c>
      <c r="K572" s="226"/>
      <c r="L572" s="227">
        <v>1214.1416955952</v>
      </c>
      <c r="M572" s="226">
        <f t="shared" si="394"/>
        <v>9.4721708296960523E-4</v>
      </c>
      <c r="N572" s="226">
        <f>L572*'DADOS BASE'!$I$29</f>
        <v>1195609.1955024877</v>
      </c>
      <c r="O572" s="228"/>
      <c r="P572" s="227">
        <v>0</v>
      </c>
      <c r="Q572" s="226">
        <f>P572*'DADOS BASE'!$I$33</f>
        <v>0</v>
      </c>
      <c r="R572" s="226"/>
      <c r="S572" s="227">
        <v>22.4</v>
      </c>
      <c r="T572" s="226">
        <f>S572*'DADOS BASE'!$I$37</f>
        <v>17646.471463037436</v>
      </c>
      <c r="U572" s="226"/>
      <c r="V572" s="226">
        <f t="shared" si="395"/>
        <v>17646.471463037436</v>
      </c>
      <c r="W572" s="228"/>
      <c r="X572" s="226"/>
      <c r="Y572" s="226"/>
      <c r="Z572" s="224"/>
      <c r="AA572" s="226"/>
      <c r="AB572" s="226"/>
      <c r="AC572" s="226"/>
      <c r="AD572" s="226"/>
      <c r="AE572" s="227">
        <v>1221</v>
      </c>
      <c r="AF572" s="227">
        <v>657.46189554721002</v>
      </c>
      <c r="AG572" s="226" t="s">
        <v>155</v>
      </c>
      <c r="AH572" s="229">
        <v>0.57899999999999996</v>
      </c>
      <c r="AI572" s="225">
        <f t="shared" si="396"/>
        <v>380.67043752183457</v>
      </c>
      <c r="AJ572" s="226">
        <f t="shared" si="397"/>
        <v>-0.19331819845998569</v>
      </c>
      <c r="AK572" s="226"/>
      <c r="AL572" s="226">
        <f t="shared" si="398"/>
        <v>214.41108724869878</v>
      </c>
      <c r="AM572" s="228">
        <f t="shared" si="399"/>
        <v>140967.11984886773</v>
      </c>
      <c r="AN572" s="226"/>
      <c r="AO572" s="227">
        <v>2.2440912795435999</v>
      </c>
      <c r="AP572" s="225"/>
      <c r="AQ572" s="226">
        <f t="shared" si="400"/>
        <v>1475.404506429699</v>
      </c>
      <c r="AR572" s="226">
        <f t="shared" si="401"/>
        <v>1.5698151116644325E-3</v>
      </c>
      <c r="AS572" s="228">
        <f>AR572*'DADOS BASE'!W$38</f>
        <v>470904.92344963172</v>
      </c>
      <c r="AT572" s="225"/>
      <c r="AU572" s="227">
        <v>22.4</v>
      </c>
      <c r="AV572" s="227">
        <v>28</v>
      </c>
      <c r="AW572" s="226">
        <f t="shared" si="402"/>
        <v>5.6</v>
      </c>
      <c r="AX572" s="226">
        <f>IF($AW$11&gt;0,(AW572/$AW$11)*'DADOS BASE'!W$40,0)</f>
        <v>1006.1876959073082</v>
      </c>
      <c r="AY572" s="226">
        <f t="shared" si="403"/>
        <v>12.566911165444159</v>
      </c>
      <c r="AZ572" s="226">
        <f t="shared" si="404"/>
        <v>6.5725341853410842E-4</v>
      </c>
      <c r="BA572" s="226">
        <f>AZ572*'DADOS BASE'!W$41</f>
        <v>4855.6921459826553</v>
      </c>
      <c r="BB572" s="225"/>
      <c r="BC572" s="227">
        <v>0</v>
      </c>
      <c r="BD572" s="226">
        <f>IF($BC$11&gt;0,(BC572/$BC$11)*'DADOS BASE'!W$39,0)</f>
        <v>0</v>
      </c>
      <c r="BE572" s="187"/>
    </row>
    <row r="573" spans="2:57" x14ac:dyDescent="0.3">
      <c r="B573" s="184" t="s">
        <v>662</v>
      </c>
      <c r="C573" s="184" t="s">
        <v>671</v>
      </c>
      <c r="D573" s="184" t="s">
        <v>94</v>
      </c>
      <c r="E573" s="184">
        <v>2013</v>
      </c>
      <c r="F573" s="185"/>
      <c r="H573" s="186">
        <f ca="1">IF(AND(E573&gt;=2018,SUMIF('DADOS BASE'!$C$101:$D$104,D573,'DADOS BASE'!$H$101:$H$104)&gt;J573),
SUMIF('DADOS BASE'!$C$101:$D$104,D573,'DADOS BASE'!$H$101:$H$104),
J573)</f>
        <v>1348399.2036847114</v>
      </c>
      <c r="J573" s="186">
        <f t="shared" si="393"/>
        <v>1348399.2036847114</v>
      </c>
      <c r="K573" s="186"/>
      <c r="L573" s="188">
        <v>1351.7000201566</v>
      </c>
      <c r="M573" s="186">
        <f t="shared" si="394"/>
        <v>1.0545337128176238E-3</v>
      </c>
      <c r="N573" s="186">
        <f>L573*'DADOS BASE'!$I$29</f>
        <v>1331067.8477835138</v>
      </c>
      <c r="O573" s="187"/>
      <c r="P573" s="188">
        <v>0</v>
      </c>
      <c r="Q573" s="186">
        <f>P573*'DADOS BASE'!$I$33</f>
        <v>0</v>
      </c>
      <c r="R573" s="186"/>
      <c r="S573" s="188">
        <v>22</v>
      </c>
      <c r="T573" s="186">
        <f>S573*'DADOS BASE'!$I$37</f>
        <v>17331.355901197483</v>
      </c>
      <c r="U573" s="186"/>
      <c r="V573" s="186">
        <f t="shared" si="395"/>
        <v>17331.355901197483</v>
      </c>
      <c r="W573" s="187"/>
      <c r="X573" s="186"/>
      <c r="Y573" s="186"/>
      <c r="Z573" s="185"/>
      <c r="AA573" s="186"/>
      <c r="AB573" s="186"/>
      <c r="AC573" s="186"/>
      <c r="AD573" s="186"/>
      <c r="AE573" s="188">
        <v>1197</v>
      </c>
      <c r="AF573" s="188">
        <v>769.83733202766996</v>
      </c>
      <c r="AG573" s="186" t="s">
        <v>155</v>
      </c>
      <c r="AH573" s="189">
        <v>0.61599999999999999</v>
      </c>
      <c r="AI573" s="183">
        <f t="shared" si="396"/>
        <v>474.21979652904469</v>
      </c>
      <c r="AJ573" s="186">
        <f t="shared" si="397"/>
        <v>-0.14341281812603301</v>
      </c>
      <c r="AK573" s="186"/>
      <c r="AL573" s="186">
        <f t="shared" si="398"/>
        <v>205.4442694537706</v>
      </c>
      <c r="AM573" s="187">
        <f t="shared" si="399"/>
        <v>158158.66827666448</v>
      </c>
      <c r="AN573" s="186"/>
      <c r="AO573" s="188">
        <v>2.2480851063829999</v>
      </c>
      <c r="AQ573" s="186">
        <f t="shared" si="400"/>
        <v>1730.6598404690292</v>
      </c>
      <c r="AR573" s="186">
        <f t="shared" si="401"/>
        <v>1.8414041429854412E-3</v>
      </c>
      <c r="AS573" s="187">
        <f>AR573*'DADOS BASE'!W$38</f>
        <v>552374.78002935229</v>
      </c>
      <c r="AU573" s="188">
        <v>22</v>
      </c>
      <c r="AV573" s="188">
        <v>29.25</v>
      </c>
      <c r="AW573" s="186">
        <f t="shared" si="402"/>
        <v>5.5</v>
      </c>
      <c r="AX573" s="186">
        <f>IF($AW$11&gt;0,(AW573/$AW$11)*'DADOS BASE'!W$40,0)</f>
        <v>988.22005848039214</v>
      </c>
      <c r="AY573" s="186">
        <f t="shared" si="403"/>
        <v>12.364468085106498</v>
      </c>
      <c r="AZ573" s="186">
        <f t="shared" si="404"/>
        <v>6.4666558156615292E-4</v>
      </c>
      <c r="BA573" s="186">
        <f>AZ573*'DADOS BASE'!W$41</f>
        <v>4777.4707547224771</v>
      </c>
      <c r="BC573" s="188">
        <v>0</v>
      </c>
      <c r="BD573" s="186">
        <f>IF($BC$11&gt;0,(BC573/$BC$11)*'DADOS BASE'!W$39,0)</f>
        <v>0</v>
      </c>
      <c r="BE573" s="187"/>
    </row>
    <row r="574" spans="2:57" x14ac:dyDescent="0.3">
      <c r="B574" s="223" t="s">
        <v>662</v>
      </c>
      <c r="C574" s="223" t="s">
        <v>672</v>
      </c>
      <c r="D574" s="223" t="s">
        <v>94</v>
      </c>
      <c r="E574" s="223">
        <v>2009</v>
      </c>
      <c r="F574" s="224"/>
      <c r="G574" s="225"/>
      <c r="H574" s="226">
        <f ca="1">IF(AND(E574&gt;=2018,SUMIF('DADOS BASE'!$C$101:$D$104,D574,'DADOS BASE'!$H$101:$H$104)&gt;J574),
SUMIF('DADOS BASE'!$C$101:$D$104,D574,'DADOS BASE'!$H$101:$H$104),
J574)</f>
        <v>2000315.2407043348</v>
      </c>
      <c r="I574" s="225"/>
      <c r="J574" s="226">
        <f t="shared" si="393"/>
        <v>2000315.2407043348</v>
      </c>
      <c r="K574" s="226"/>
      <c r="L574" s="227">
        <v>2002.8725163818999</v>
      </c>
      <c r="M574" s="226">
        <f t="shared" si="394"/>
        <v>1.5625483165679665E-3</v>
      </c>
      <c r="N574" s="226">
        <f>L574*'DADOS BASE'!$I$29</f>
        <v>1972300.9321671415</v>
      </c>
      <c r="O574" s="228"/>
      <c r="P574" s="227">
        <v>0</v>
      </c>
      <c r="Q574" s="226">
        <f>P574*'DADOS BASE'!$I$33</f>
        <v>0</v>
      </c>
      <c r="R574" s="226"/>
      <c r="S574" s="227">
        <v>35.5606792297</v>
      </c>
      <c r="T574" s="226">
        <f>S574*'DADOS BASE'!$I$37</f>
        <v>28014.308537193265</v>
      </c>
      <c r="U574" s="226"/>
      <c r="V574" s="226">
        <f t="shared" si="395"/>
        <v>28014.308537193265</v>
      </c>
      <c r="W574" s="228"/>
      <c r="X574" s="226"/>
      <c r="Y574" s="226"/>
      <c r="Z574" s="224"/>
      <c r="AA574" s="226"/>
      <c r="AB574" s="226"/>
      <c r="AC574" s="226"/>
      <c r="AD574" s="226"/>
      <c r="AE574" s="227">
        <v>1534</v>
      </c>
      <c r="AF574" s="227">
        <v>1004.7521360981</v>
      </c>
      <c r="AG574" s="226" t="s">
        <v>155</v>
      </c>
      <c r="AH574" s="229">
        <v>0.69099999999999995</v>
      </c>
      <c r="AI574" s="225">
        <f t="shared" si="396"/>
        <v>694.28372604378706</v>
      </c>
      <c r="AJ574" s="226">
        <f t="shared" si="397"/>
        <v>-4.2253263395048084E-2</v>
      </c>
      <c r="AK574" s="226"/>
      <c r="AL574" s="226">
        <f t="shared" si="398"/>
        <v>187.26828743702436</v>
      </c>
      <c r="AM574" s="228">
        <f t="shared" si="399"/>
        <v>188158.21182578319</v>
      </c>
      <c r="AN574" s="226"/>
      <c r="AO574" s="227">
        <v>2.1735453315291</v>
      </c>
      <c r="AP574" s="225"/>
      <c r="AQ574" s="226">
        <f t="shared" si="400"/>
        <v>2183.8743147599162</v>
      </c>
      <c r="AR574" s="226">
        <f t="shared" si="401"/>
        <v>2.3236196489476264E-3</v>
      </c>
      <c r="AS574" s="228">
        <f>AR574*'DADOS BASE'!W$38</f>
        <v>697027.26441051217</v>
      </c>
      <c r="AT574" s="225"/>
      <c r="AU574" s="227">
        <v>17.883638225961001</v>
      </c>
      <c r="AV574" s="227">
        <v>36</v>
      </c>
      <c r="AW574" s="226">
        <f t="shared" si="402"/>
        <v>4.4709095564902501</v>
      </c>
      <c r="AX574" s="226">
        <f>IF($AW$11&gt;0,(AW574/$AW$11)*'DADOS BASE'!W$40,0)</f>
        <v>803.31681879551616</v>
      </c>
      <c r="AY574" s="226">
        <f t="shared" si="403"/>
        <v>9.7177245941982218</v>
      </c>
      <c r="AZ574" s="226">
        <f t="shared" si="404"/>
        <v>5.082400620028592E-4</v>
      </c>
      <c r="BA574" s="226">
        <f>AZ574*'DADOS BASE'!W$41</f>
        <v>3754.8032581483649</v>
      </c>
      <c r="BB574" s="225"/>
      <c r="BC574" s="227">
        <v>0</v>
      </c>
      <c r="BD574" s="226">
        <f>IF($BC$11&gt;0,(BC574/$BC$11)*'DADOS BASE'!W$39,0)</f>
        <v>0</v>
      </c>
      <c r="BE574" s="187"/>
    </row>
    <row r="575" spans="2:57" x14ac:dyDescent="0.3">
      <c r="B575" s="184" t="s">
        <v>662</v>
      </c>
      <c r="C575" s="184" t="s">
        <v>673</v>
      </c>
      <c r="D575" s="184" t="s">
        <v>94</v>
      </c>
      <c r="E575" s="184">
        <v>2009</v>
      </c>
      <c r="F575" s="185"/>
      <c r="H575" s="186">
        <f ca="1">IF(AND(E575&gt;=2018,SUMIF('DADOS BASE'!$C$101:$D$104,D575,'DADOS BASE'!$H$101:$H$104)&gt;J575),
SUMIF('DADOS BASE'!$C$101:$D$104,D575,'DADOS BASE'!$H$101:$H$104),
J575)</f>
        <v>2514332.5443705698</v>
      </c>
      <c r="J575" s="186">
        <f t="shared" si="393"/>
        <v>2514332.5443705698</v>
      </c>
      <c r="K575" s="186"/>
      <c r="L575" s="188">
        <v>2525.3665470220999</v>
      </c>
      <c r="M575" s="186">
        <f t="shared" si="394"/>
        <v>1.9701739449172369E-3</v>
      </c>
      <c r="N575" s="186">
        <f>L575*'DADOS BASE'!$I$29</f>
        <v>2486819.6822396694</v>
      </c>
      <c r="O575" s="187"/>
      <c r="P575" s="188">
        <v>0</v>
      </c>
      <c r="Q575" s="186">
        <f>P575*'DADOS BASE'!$I$33</f>
        <v>0</v>
      </c>
      <c r="R575" s="186"/>
      <c r="S575" s="188">
        <v>34.924155405405003</v>
      </c>
      <c r="T575" s="186">
        <f>S575*'DADOS BASE'!$I$37</f>
        <v>27512.862130900179</v>
      </c>
      <c r="U575" s="186"/>
      <c r="V575" s="186">
        <f t="shared" si="395"/>
        <v>27512.862130900179</v>
      </c>
      <c r="W575" s="187"/>
      <c r="X575" s="186"/>
      <c r="Y575" s="186"/>
      <c r="Z575" s="185"/>
      <c r="AA575" s="186"/>
      <c r="AB575" s="186"/>
      <c r="AC575" s="186"/>
      <c r="AD575" s="186"/>
      <c r="AE575" s="188">
        <v>1470</v>
      </c>
      <c r="AF575" s="188">
        <v>1002.4800884877</v>
      </c>
      <c r="AG575" s="186" t="s">
        <v>155</v>
      </c>
      <c r="AH575" s="189">
        <v>0.60299999999999998</v>
      </c>
      <c r="AI575" s="183">
        <f t="shared" si="396"/>
        <v>604.49549335808308</v>
      </c>
      <c r="AJ575" s="186">
        <f t="shared" si="397"/>
        <v>-0.16094714094607043</v>
      </c>
      <c r="AK575" s="186"/>
      <c r="AL575" s="186">
        <f t="shared" si="398"/>
        <v>208.59477300333995</v>
      </c>
      <c r="AM575" s="187">
        <f t="shared" si="399"/>
        <v>209112.10649845994</v>
      </c>
      <c r="AN575" s="186"/>
      <c r="AO575" s="188">
        <v>2.3138792102207</v>
      </c>
      <c r="AQ575" s="186">
        <f t="shared" si="400"/>
        <v>2319.6178354118965</v>
      </c>
      <c r="AR575" s="186">
        <f t="shared" si="401"/>
        <v>2.4680493488037488E-3</v>
      </c>
      <c r="AS575" s="187">
        <f>AR575*'DADOS BASE'!W$38</f>
        <v>740352.53007347847</v>
      </c>
      <c r="AU575" s="188">
        <v>34.924155405405003</v>
      </c>
      <c r="AV575" s="188">
        <v>106</v>
      </c>
      <c r="AW575" s="186">
        <f t="shared" si="402"/>
        <v>8.7310388513512507</v>
      </c>
      <c r="AX575" s="186">
        <f>IF($AW$11&gt;0,(AW575/$AW$11)*'DADOS BASE'!W$40,0)</f>
        <v>1568.7614044139834</v>
      </c>
      <c r="AY575" s="186">
        <f t="shared" si="403"/>
        <v>20.202569281770881</v>
      </c>
      <c r="AZ575" s="186">
        <f t="shared" si="404"/>
        <v>1.0566007468985543E-3</v>
      </c>
      <c r="BA575" s="186">
        <f>AZ575*'DADOS BASE'!W$41</f>
        <v>7806.0118113915396</v>
      </c>
      <c r="BC575" s="188">
        <v>0</v>
      </c>
      <c r="BD575" s="186">
        <f>IF($BC$11&gt;0,(BC575/$BC$11)*'DADOS BASE'!W$39,0)</f>
        <v>0</v>
      </c>
      <c r="BE575" s="187"/>
    </row>
    <row r="576" spans="2:57" x14ac:dyDescent="0.3">
      <c r="B576" s="223" t="s">
        <v>662</v>
      </c>
      <c r="C576" s="223" t="s">
        <v>674</v>
      </c>
      <c r="D576" s="223" t="s">
        <v>94</v>
      </c>
      <c r="E576" s="223">
        <v>2009</v>
      </c>
      <c r="F576" s="224"/>
      <c r="G576" s="225"/>
      <c r="H576" s="226">
        <f ca="1">IF(AND(E576&gt;=2018,SUMIF('DADOS BASE'!$C$101:$D$104,D576,'DADOS BASE'!$H$101:$H$104)&gt;J576),
SUMIF('DADOS BASE'!$C$101:$D$104,D576,'DADOS BASE'!$H$101:$H$104),
J576)</f>
        <v>1547868.7412423054</v>
      </c>
      <c r="I576" s="225"/>
      <c r="J576" s="226">
        <f t="shared" si="393"/>
        <v>1547868.7412423054</v>
      </c>
      <c r="K576" s="226"/>
      <c r="L576" s="227">
        <v>1553.6214285673</v>
      </c>
      <c r="M576" s="226">
        <f t="shared" si="394"/>
        <v>1.2120634378553063E-3</v>
      </c>
      <c r="N576" s="226">
        <f>L576*'DADOS BASE'!$I$29</f>
        <v>1529907.1542174281</v>
      </c>
      <c r="O576" s="228"/>
      <c r="P576" s="227">
        <v>0</v>
      </c>
      <c r="Q576" s="226">
        <f>P576*'DADOS BASE'!$I$33</f>
        <v>0</v>
      </c>
      <c r="R576" s="226"/>
      <c r="S576" s="227">
        <v>22.8</v>
      </c>
      <c r="T576" s="226">
        <f>S576*'DADOS BASE'!$I$37</f>
        <v>17961.58702487739</v>
      </c>
      <c r="U576" s="226"/>
      <c r="V576" s="226">
        <f t="shared" si="395"/>
        <v>17961.58702487739</v>
      </c>
      <c r="W576" s="228"/>
      <c r="X576" s="226"/>
      <c r="Y576" s="226"/>
      <c r="Z576" s="224"/>
      <c r="AA576" s="226"/>
      <c r="AB576" s="226"/>
      <c r="AC576" s="226"/>
      <c r="AD576" s="226"/>
      <c r="AE576" s="227">
        <v>1306</v>
      </c>
      <c r="AF576" s="227">
        <v>764.53390159756998</v>
      </c>
      <c r="AG576" s="226" t="s">
        <v>155</v>
      </c>
      <c r="AH576" s="229">
        <v>0.59499999999999997</v>
      </c>
      <c r="AI576" s="225">
        <f t="shared" si="396"/>
        <v>454.89767145055413</v>
      </c>
      <c r="AJ576" s="226">
        <f t="shared" si="397"/>
        <v>-0.17173749345070885</v>
      </c>
      <c r="AK576" s="226"/>
      <c r="AL576" s="226">
        <f t="shared" si="398"/>
        <v>210.53354441845957</v>
      </c>
      <c r="AM576" s="228">
        <f t="shared" si="399"/>
        <v>160960.0321314102</v>
      </c>
      <c r="AN576" s="226"/>
      <c r="AO576" s="227">
        <v>2.2396403440188002</v>
      </c>
      <c r="AP576" s="225"/>
      <c r="AQ576" s="226">
        <f t="shared" si="400"/>
        <v>1712.2809703880171</v>
      </c>
      <c r="AR576" s="226">
        <f t="shared" si="401"/>
        <v>1.8218492155992513E-3</v>
      </c>
      <c r="AS576" s="228">
        <f>AR576*'DADOS BASE'!W$38</f>
        <v>546508.79522933753</v>
      </c>
      <c r="AT576" s="225"/>
      <c r="AU576" s="227">
        <v>22.8</v>
      </c>
      <c r="AV576" s="227">
        <v>28.5</v>
      </c>
      <c r="AW576" s="226">
        <f t="shared" si="402"/>
        <v>5.7</v>
      </c>
      <c r="AX576" s="226">
        <f>IF($AW$11&gt;0,(AW576/$AW$11)*'DADOS BASE'!W$40,0)</f>
        <v>1024.1553333342245</v>
      </c>
      <c r="AY576" s="226">
        <f t="shared" si="403"/>
        <v>12.765949960907161</v>
      </c>
      <c r="AZ576" s="226">
        <f t="shared" si="404"/>
        <v>6.6766321032914308E-4</v>
      </c>
      <c r="BA576" s="226">
        <f>AZ576*'DADOS BASE'!W$41</f>
        <v>4932.598165540835</v>
      </c>
      <c r="BB576" s="225"/>
      <c r="BC576" s="227">
        <v>0</v>
      </c>
      <c r="BD576" s="226">
        <f>IF($BC$11&gt;0,(BC576/$BC$11)*'DADOS BASE'!W$39,0)</f>
        <v>0</v>
      </c>
      <c r="BE576" s="187"/>
    </row>
    <row r="577" spans="2:57" x14ac:dyDescent="0.3">
      <c r="B577" s="184" t="s">
        <v>662</v>
      </c>
      <c r="C577" s="184" t="s">
        <v>675</v>
      </c>
      <c r="D577" s="184" t="s">
        <v>94</v>
      </c>
      <c r="E577" s="184">
        <v>2009</v>
      </c>
      <c r="F577" s="185"/>
      <c r="H577" s="186">
        <f ca="1">IF(AND(E577&gt;=2018,SUMIF('DADOS BASE'!$C$101:$D$104,D577,'DADOS BASE'!$H$101:$H$104)&gt;J577),
SUMIF('DADOS BASE'!$C$101:$D$104,D577,'DADOS BASE'!$H$101:$H$104),
J577)</f>
        <v>1615692.6084394522</v>
      </c>
      <c r="J577" s="186">
        <f t="shared" si="393"/>
        <v>1615692.6084394522</v>
      </c>
      <c r="K577" s="186"/>
      <c r="L577" s="188">
        <v>1603.2405973350999</v>
      </c>
      <c r="M577" s="186">
        <f t="shared" si="394"/>
        <v>1.2507740137873613E-3</v>
      </c>
      <c r="N577" s="186">
        <f>L577*'DADOS BASE'!$I$29</f>
        <v>1578768.9424808556</v>
      </c>
      <c r="O577" s="187"/>
      <c r="P577" s="188">
        <v>0</v>
      </c>
      <c r="Q577" s="186">
        <f>P577*'DADOS BASE'!$I$33</f>
        <v>0</v>
      </c>
      <c r="R577" s="186"/>
      <c r="S577" s="188">
        <v>46.87</v>
      </c>
      <c r="T577" s="186">
        <f>S577*'DADOS BASE'!$I$37</f>
        <v>36923.665958596634</v>
      </c>
      <c r="U577" s="186"/>
      <c r="V577" s="186">
        <f t="shared" si="395"/>
        <v>36923.665958596634</v>
      </c>
      <c r="W577" s="187"/>
      <c r="X577" s="186"/>
      <c r="Y577" s="186"/>
      <c r="Z577" s="185"/>
      <c r="AA577" s="186"/>
      <c r="AB577" s="186"/>
      <c r="AC577" s="186"/>
      <c r="AD577" s="186"/>
      <c r="AE577" s="188">
        <v>926</v>
      </c>
      <c r="AF577" s="188">
        <v>589.75563732408</v>
      </c>
      <c r="AG577" s="186" t="s">
        <v>155</v>
      </c>
      <c r="AH577" s="189">
        <v>0.66500000000000004</v>
      </c>
      <c r="AI577" s="183">
        <f t="shared" si="396"/>
        <v>392.18749882051321</v>
      </c>
      <c r="AJ577" s="186">
        <f t="shared" si="397"/>
        <v>-7.732190903512276E-2</v>
      </c>
      <c r="AK577" s="186"/>
      <c r="AL577" s="186">
        <f t="shared" si="398"/>
        <v>193.56929453616306</v>
      </c>
      <c r="AM577" s="187">
        <f t="shared" si="399"/>
        <v>114158.58266554739</v>
      </c>
      <c r="AN577" s="186"/>
      <c r="AO577" s="188">
        <v>2.2168857431748998</v>
      </c>
      <c r="AQ577" s="186">
        <f t="shared" si="400"/>
        <v>1307.4208643407799</v>
      </c>
      <c r="AR577" s="186">
        <f t="shared" si="401"/>
        <v>1.3910822565630578E-3</v>
      </c>
      <c r="AS577" s="187">
        <f>AR577*'DADOS BASE'!W$38</f>
        <v>417289.57676067809</v>
      </c>
      <c r="AU577" s="188">
        <v>46.87</v>
      </c>
      <c r="AV577" s="188">
        <v>70.25</v>
      </c>
      <c r="AW577" s="186">
        <f t="shared" si="402"/>
        <v>11.717499999999999</v>
      </c>
      <c r="AX577" s="186">
        <f>IF($AW$11&gt;0,(AW577/$AW$11)*'DADOS BASE'!W$40,0)</f>
        <v>2105.3579154989079</v>
      </c>
      <c r="AY577" s="186">
        <f t="shared" si="403"/>
        <v>25.976358695651886</v>
      </c>
      <c r="AZ577" s="186">
        <f t="shared" si="404"/>
        <v>1.3585717547468629E-3</v>
      </c>
      <c r="BA577" s="186">
        <f>AZ577*'DADOS BASE'!W$41</f>
        <v>10036.929460163579</v>
      </c>
      <c r="BC577" s="188">
        <v>0</v>
      </c>
      <c r="BD577" s="186">
        <f>IF($BC$11&gt;0,(BC577/$BC$11)*'DADOS BASE'!W$39,0)</f>
        <v>0</v>
      </c>
      <c r="BE577" s="187"/>
    </row>
    <row r="578" spans="2:57" x14ac:dyDescent="0.3">
      <c r="B578" s="223" t="s">
        <v>662</v>
      </c>
      <c r="C578" s="223" t="s">
        <v>676</v>
      </c>
      <c r="D578" s="223" t="s">
        <v>94</v>
      </c>
      <c r="E578" s="223">
        <v>2009</v>
      </c>
      <c r="F578" s="224"/>
      <c r="G578" s="225"/>
      <c r="H578" s="226">
        <f ca="1">IF(AND(E578&gt;=2018,SUMIF('DADOS BASE'!$C$101:$D$104,D578,'DADOS BASE'!$H$101:$H$104)&gt;J578),
SUMIF('DADOS BASE'!$C$101:$D$104,D578,'DADOS BASE'!$H$101:$H$104),
J578)</f>
        <v>2683000.8004009337</v>
      </c>
      <c r="I578" s="225"/>
      <c r="J578" s="226">
        <f t="shared" si="393"/>
        <v>2683000.8004009337</v>
      </c>
      <c r="K578" s="226"/>
      <c r="L578" s="227">
        <v>2724.5885640022998</v>
      </c>
      <c r="M578" s="226">
        <f t="shared" si="394"/>
        <v>2.125597729860886E-3</v>
      </c>
      <c r="N578" s="226">
        <f>L578*'DADOS BASE'!$I$29</f>
        <v>2683000.8004009337</v>
      </c>
      <c r="O578" s="228"/>
      <c r="P578" s="227">
        <v>0</v>
      </c>
      <c r="Q578" s="226">
        <f>P578*'DADOS BASE'!$I$33</f>
        <v>0</v>
      </c>
      <c r="R578" s="226"/>
      <c r="S578" s="227">
        <v>0</v>
      </c>
      <c r="T578" s="226">
        <f>S578*'DADOS BASE'!$I$37</f>
        <v>0</v>
      </c>
      <c r="U578" s="226"/>
      <c r="V578" s="226">
        <f t="shared" si="395"/>
        <v>0</v>
      </c>
      <c r="W578" s="228"/>
      <c r="X578" s="226"/>
      <c r="Y578" s="226"/>
      <c r="Z578" s="224"/>
      <c r="AA578" s="226"/>
      <c r="AB578" s="226"/>
      <c r="AC578" s="226"/>
      <c r="AD578" s="226"/>
      <c r="AE578" s="227">
        <v>2700</v>
      </c>
      <c r="AF578" s="227">
        <v>1177.6066904226</v>
      </c>
      <c r="AG578" s="226" t="s">
        <v>155</v>
      </c>
      <c r="AH578" s="229">
        <v>0.72</v>
      </c>
      <c r="AI578" s="225">
        <f t="shared" si="396"/>
        <v>847.87681710427194</v>
      </c>
      <c r="AJ578" s="226">
        <f t="shared" si="397"/>
        <v>-3.1382355657338435E-3</v>
      </c>
      <c r="AK578" s="226"/>
      <c r="AL578" s="226">
        <f t="shared" si="398"/>
        <v>180.2402410572158</v>
      </c>
      <c r="AM578" s="228">
        <f t="shared" si="399"/>
        <v>212252.11375235952</v>
      </c>
      <c r="AN578" s="226"/>
      <c r="AO578" s="227">
        <v>2.1183222036728</v>
      </c>
      <c r="AP578" s="225"/>
      <c r="AQ578" s="226">
        <f t="shared" si="400"/>
        <v>2494.5503995158347</v>
      </c>
      <c r="AR578" s="226">
        <f t="shared" si="401"/>
        <v>2.6541757849477569E-3</v>
      </c>
      <c r="AS578" s="228">
        <f>AR578*'DADOS BASE'!W$38</f>
        <v>796185.76451814908</v>
      </c>
      <c r="AT578" s="225"/>
      <c r="AU578" s="227">
        <v>0</v>
      </c>
      <c r="AV578" s="227">
        <v>0</v>
      </c>
      <c r="AW578" s="226">
        <f t="shared" si="402"/>
        <v>0</v>
      </c>
      <c r="AX578" s="226">
        <f>IF($AW$11&gt;0,(AW578/$AW$11)*'DADOS BASE'!W$40,0)</f>
        <v>0</v>
      </c>
      <c r="AY578" s="226">
        <f t="shared" si="403"/>
        <v>0</v>
      </c>
      <c r="AZ578" s="226">
        <f t="shared" si="404"/>
        <v>0</v>
      </c>
      <c r="BA578" s="226">
        <f>AZ578*'DADOS BASE'!W$41</f>
        <v>0</v>
      </c>
      <c r="BB578" s="225"/>
      <c r="BC578" s="227">
        <v>0</v>
      </c>
      <c r="BD578" s="226">
        <f>IF($BC$11&gt;0,(BC578/$BC$11)*'DADOS BASE'!W$39,0)</f>
        <v>0</v>
      </c>
      <c r="BE578" s="187"/>
    </row>
    <row r="579" spans="2:57" x14ac:dyDescent="0.3">
      <c r="B579" s="184" t="s">
        <v>662</v>
      </c>
      <c r="C579" s="184" t="s">
        <v>677</v>
      </c>
      <c r="D579" s="184" t="s">
        <v>94</v>
      </c>
      <c r="E579" s="184">
        <v>2009</v>
      </c>
      <c r="F579" s="185"/>
      <c r="H579" s="186">
        <f ca="1">IF(AND(E579&gt;=2018,SUMIF('DADOS BASE'!$C$101:$D$104,D579,'DADOS BASE'!$H$101:$H$104)&gt;J579),
SUMIF('DADOS BASE'!$C$101:$D$104,D579,'DADOS BASE'!$H$101:$H$104),
J579)</f>
        <v>9269471.8776167762</v>
      </c>
      <c r="J579" s="186">
        <f t="shared" si="393"/>
        <v>9269471.8776167762</v>
      </c>
      <c r="K579" s="186"/>
      <c r="L579" s="188">
        <v>9387.2330144611005</v>
      </c>
      <c r="M579" s="186">
        <f t="shared" si="394"/>
        <v>7.3234841578806668E-3</v>
      </c>
      <c r="N579" s="186">
        <f>L579*'DADOS BASE'!$I$29</f>
        <v>9243947.51710774</v>
      </c>
      <c r="O579" s="187"/>
      <c r="P579" s="188">
        <v>0</v>
      </c>
      <c r="Q579" s="186">
        <f>P579*'DADOS BASE'!$I$33</f>
        <v>0</v>
      </c>
      <c r="R579" s="186"/>
      <c r="S579" s="188">
        <v>32.4</v>
      </c>
      <c r="T579" s="186">
        <f>S579*'DADOS BASE'!$I$37</f>
        <v>25524.360509036291</v>
      </c>
      <c r="U579" s="186"/>
      <c r="V579" s="186">
        <f t="shared" si="395"/>
        <v>25524.360509036291</v>
      </c>
      <c r="W579" s="187"/>
      <c r="X579" s="186"/>
      <c r="Y579" s="186"/>
      <c r="Z579" s="185"/>
      <c r="AA579" s="186"/>
      <c r="AB579" s="186"/>
      <c r="AC579" s="186"/>
      <c r="AD579" s="186"/>
      <c r="AE579" s="188">
        <v>7764</v>
      </c>
      <c r="AF579" s="188">
        <v>4304.8341475018997</v>
      </c>
      <c r="AG579" s="186" t="s">
        <v>155</v>
      </c>
      <c r="AH579" s="189">
        <v>0.76300000000000001</v>
      </c>
      <c r="AI579" s="183">
        <f t="shared" si="396"/>
        <v>3284.5884545439494</v>
      </c>
      <c r="AJ579" s="186">
        <f t="shared" si="397"/>
        <v>5.4859909146697611E-2</v>
      </c>
      <c r="AK579" s="186"/>
      <c r="AL579" s="186">
        <f t="shared" si="398"/>
        <v>169.81934470094794</v>
      </c>
      <c r="AM579" s="187">
        <f t="shared" si="399"/>
        <v>731044.11397503642</v>
      </c>
      <c r="AN579" s="186"/>
      <c r="AO579" s="188">
        <v>2.0141082759551998</v>
      </c>
      <c r="AQ579" s="186">
        <f t="shared" si="400"/>
        <v>8670.4020830981226</v>
      </c>
      <c r="AR579" s="186">
        <f t="shared" si="401"/>
        <v>9.2252180028858741E-3</v>
      </c>
      <c r="AS579" s="187">
        <f>AR579*'DADOS BASE'!W$38</f>
        <v>2767332.6273748879</v>
      </c>
      <c r="AU579" s="188">
        <v>32.4</v>
      </c>
      <c r="AV579" s="188">
        <v>40.5</v>
      </c>
      <c r="AW579" s="186">
        <f t="shared" si="402"/>
        <v>8.1</v>
      </c>
      <c r="AX579" s="186">
        <f>IF($AW$11&gt;0,(AW579/$AW$11)*'DADOS BASE'!W$40,0)</f>
        <v>1455.3786315802138</v>
      </c>
      <c r="AY579" s="186">
        <f t="shared" si="403"/>
        <v>16.314277035237119</v>
      </c>
      <c r="AZ579" s="186">
        <f t="shared" si="404"/>
        <v>8.5324183573498829E-4</v>
      </c>
      <c r="BA579" s="186">
        <f>AZ579*'DADOS BASE'!W$41</f>
        <v>6303.6259128824886</v>
      </c>
      <c r="BC579" s="188">
        <v>0</v>
      </c>
      <c r="BD579" s="186">
        <f>IF($BC$11&gt;0,(BC579/$BC$11)*'DADOS BASE'!W$39,0)</f>
        <v>0</v>
      </c>
      <c r="BE579" s="187"/>
    </row>
    <row r="580" spans="2:57" x14ac:dyDescent="0.3">
      <c r="B580" s="223" t="s">
        <v>662</v>
      </c>
      <c r="C580" s="223" t="s">
        <v>678</v>
      </c>
      <c r="D580" s="223" t="s">
        <v>94</v>
      </c>
      <c r="E580" s="223">
        <v>2013</v>
      </c>
      <c r="F580" s="224"/>
      <c r="G580" s="225"/>
      <c r="H580" s="226">
        <f ca="1">IF(AND(E580&gt;=2018,SUMIF('DADOS BASE'!$C$101:$D$104,D580,'DADOS BASE'!$H$101:$H$104)&gt;J580),
SUMIF('DADOS BASE'!$C$101:$D$104,D580,'DADOS BASE'!$H$101:$H$104),
J580)</f>
        <v>1180223.0937189662</v>
      </c>
      <c r="I580" s="225"/>
      <c r="J580" s="226">
        <f t="shared" si="393"/>
        <v>1180223.0937189662</v>
      </c>
      <c r="K580" s="226"/>
      <c r="L580" s="227">
        <v>1186.8589906130001</v>
      </c>
      <c r="M580" s="226">
        <f t="shared" si="394"/>
        <v>9.2593238092657801E-4</v>
      </c>
      <c r="N580" s="226">
        <f>L580*'DADOS BASE'!$I$29</f>
        <v>1168742.9301619264</v>
      </c>
      <c r="O580" s="228"/>
      <c r="P580" s="227">
        <v>0</v>
      </c>
      <c r="Q580" s="226">
        <f>P580*'DADOS BASE'!$I$33</f>
        <v>0</v>
      </c>
      <c r="R580" s="226"/>
      <c r="S580" s="227">
        <v>14.572639307316001</v>
      </c>
      <c r="T580" s="226">
        <f>S580*'DADOS BASE'!$I$37</f>
        <v>11480.163557039707</v>
      </c>
      <c r="U580" s="226"/>
      <c r="V580" s="226">
        <f t="shared" si="395"/>
        <v>11480.163557039707</v>
      </c>
      <c r="W580" s="228"/>
      <c r="X580" s="226"/>
      <c r="Y580" s="226"/>
      <c r="Z580" s="224"/>
      <c r="AA580" s="226"/>
      <c r="AB580" s="226"/>
      <c r="AC580" s="226"/>
      <c r="AD580" s="226"/>
      <c r="AE580" s="227">
        <v>1490</v>
      </c>
      <c r="AF580" s="227">
        <v>755.21203233896995</v>
      </c>
      <c r="AG580" s="226" t="s">
        <v>155</v>
      </c>
      <c r="AH580" s="229">
        <v>0.76300000000000001</v>
      </c>
      <c r="AI580" s="225">
        <f t="shared" si="396"/>
        <v>576.22678067463403</v>
      </c>
      <c r="AJ580" s="226">
        <f t="shared" si="397"/>
        <v>5.4859909146697611E-2</v>
      </c>
      <c r="AK580" s="226"/>
      <c r="AL580" s="226">
        <f t="shared" si="398"/>
        <v>169.81934470094794</v>
      </c>
      <c r="AM580" s="228">
        <f t="shared" si="399"/>
        <v>128249.61244207498</v>
      </c>
      <c r="AN580" s="226"/>
      <c r="AO580" s="227">
        <v>2.1074691026329999</v>
      </c>
      <c r="AP580" s="225"/>
      <c r="AQ580" s="226">
        <f t="shared" si="400"/>
        <v>1591.5860240910531</v>
      </c>
      <c r="AR580" s="226">
        <f t="shared" si="401"/>
        <v>1.6934310429741774E-3</v>
      </c>
      <c r="AS580" s="228">
        <f>AR580*'DADOS BASE'!W$38</f>
        <v>507986.58372798795</v>
      </c>
      <c r="AT580" s="225"/>
      <c r="AU580" s="227">
        <v>14.572639307316001</v>
      </c>
      <c r="AV580" s="227">
        <v>35.75</v>
      </c>
      <c r="AW580" s="226">
        <f t="shared" si="402"/>
        <v>3.6431598268290002</v>
      </c>
      <c r="AX580" s="226">
        <f>IF($AW$11&gt;0,(AW580/$AW$11)*'DADOS BASE'!W$40,0)</f>
        <v>654.58974856770362</v>
      </c>
      <c r="AY580" s="226">
        <f t="shared" si="403"/>
        <v>7.6778467709959086</v>
      </c>
      <c r="AZ580" s="226">
        <f t="shared" si="404"/>
        <v>4.015538083132279E-4</v>
      </c>
      <c r="BA580" s="226">
        <f>AZ580*'DADOS BASE'!W$41</f>
        <v>2966.6208166169904</v>
      </c>
      <c r="BB580" s="225"/>
      <c r="BC580" s="227">
        <v>0</v>
      </c>
      <c r="BD580" s="226">
        <f>IF($BC$11&gt;0,(BC580/$BC$11)*'DADOS BASE'!W$39,0)</f>
        <v>0</v>
      </c>
      <c r="BE580" s="187"/>
    </row>
    <row r="581" spans="2:57" x14ac:dyDescent="0.3">
      <c r="B581" s="184" t="s">
        <v>662</v>
      </c>
      <c r="C581" s="184" t="s">
        <v>679</v>
      </c>
      <c r="D581" s="184" t="s">
        <v>94</v>
      </c>
      <c r="E581" s="184">
        <v>2009</v>
      </c>
      <c r="F581" s="185"/>
      <c r="H581" s="186">
        <f ca="1">IF(AND(E581&gt;=2018,SUMIF('DADOS BASE'!$C$101:$D$104,D581,'DADOS BASE'!$H$101:$H$104)&gt;J581),
SUMIF('DADOS BASE'!$C$101:$D$104,D581,'DADOS BASE'!$H$101:$H$104),
J581)</f>
        <v>1876989.1033342318</v>
      </c>
      <c r="J581" s="186">
        <f t="shared" si="393"/>
        <v>1876989.1033342318</v>
      </c>
      <c r="K581" s="186"/>
      <c r="L581" s="188">
        <v>1897.7233097542</v>
      </c>
      <c r="M581" s="186">
        <f t="shared" si="394"/>
        <v>1.4805157785703052E-3</v>
      </c>
      <c r="N581" s="186">
        <f>L581*'DADOS BASE'!$I$29</f>
        <v>1868756.7092811631</v>
      </c>
      <c r="O581" s="187"/>
      <c r="P581" s="188">
        <v>0</v>
      </c>
      <c r="Q581" s="186">
        <f>P581*'DADOS BASE'!$I$33</f>
        <v>0</v>
      </c>
      <c r="R581" s="186"/>
      <c r="S581" s="188">
        <v>10.45</v>
      </c>
      <c r="T581" s="186">
        <f>S581*'DADOS BASE'!$I$37</f>
        <v>8232.3940530688033</v>
      </c>
      <c r="U581" s="186"/>
      <c r="V581" s="186">
        <f t="shared" si="395"/>
        <v>8232.3940530688033</v>
      </c>
      <c r="W581" s="187"/>
      <c r="X581" s="186"/>
      <c r="Y581" s="186"/>
      <c r="Z581" s="185"/>
      <c r="AA581" s="186"/>
      <c r="AB581" s="186"/>
      <c r="AC581" s="186"/>
      <c r="AD581" s="186"/>
      <c r="AE581" s="188">
        <v>1641</v>
      </c>
      <c r="AF581" s="188">
        <v>981.31172030797995</v>
      </c>
      <c r="AG581" s="186" t="s">
        <v>155</v>
      </c>
      <c r="AH581" s="189">
        <v>0.76300000000000001</v>
      </c>
      <c r="AI581" s="183">
        <f t="shared" si="396"/>
        <v>748.74084259498875</v>
      </c>
      <c r="AJ581" s="186">
        <f t="shared" si="397"/>
        <v>5.4859909146697611E-2</v>
      </c>
      <c r="AK581" s="186"/>
      <c r="AL581" s="186">
        <f t="shared" si="398"/>
        <v>169.81934470094794</v>
      </c>
      <c r="AM581" s="187">
        <f t="shared" si="399"/>
        <v>166645.71329006107</v>
      </c>
      <c r="AN581" s="186"/>
      <c r="AO581" s="188">
        <v>2.1708487084871</v>
      </c>
      <c r="AQ581" s="186">
        <f t="shared" si="400"/>
        <v>2130.2792806538328</v>
      </c>
      <c r="AR581" s="186">
        <f t="shared" si="401"/>
        <v>2.2665950878301504E-3</v>
      </c>
      <c r="AS581" s="187">
        <f>AR581*'DADOS BASE'!W$38</f>
        <v>679921.33493624302</v>
      </c>
      <c r="AU581" s="188">
        <v>10.45</v>
      </c>
      <c r="AV581" s="188">
        <v>25.75</v>
      </c>
      <c r="AW581" s="186">
        <f t="shared" si="402"/>
        <v>2.6124999999999998</v>
      </c>
      <c r="AX581" s="186">
        <f>IF($AW$11&gt;0,(AW581/$AW$11)*'DADOS BASE'!W$40,0)</f>
        <v>469.40452777818621</v>
      </c>
      <c r="AY581" s="186">
        <f t="shared" si="403"/>
        <v>5.6713422509225486</v>
      </c>
      <c r="AZ581" s="186">
        <f t="shared" si="404"/>
        <v>2.9661298890577679E-4</v>
      </c>
      <c r="BA581" s="186">
        <f>AZ581*'DADOS BASE'!W$41</f>
        <v>2191.3333883275618</v>
      </c>
      <c r="BC581" s="188">
        <v>0</v>
      </c>
      <c r="BD581" s="186">
        <f>IF($BC$11&gt;0,(BC581/$BC$11)*'DADOS BASE'!W$39,0)</f>
        <v>0</v>
      </c>
      <c r="BE581" s="187"/>
    </row>
    <row r="582" spans="2:57" x14ac:dyDescent="0.3">
      <c r="B582" s="223" t="s">
        <v>662</v>
      </c>
      <c r="C582" s="223" t="s">
        <v>680</v>
      </c>
      <c r="D582" s="223" t="s">
        <v>94</v>
      </c>
      <c r="E582" s="223">
        <v>2013</v>
      </c>
      <c r="F582" s="224"/>
      <c r="G582" s="225"/>
      <c r="H582" s="226">
        <f ca="1">IF(AND(E582&gt;=2018,SUMIF('DADOS BASE'!$C$101:$D$104,D582,'DADOS BASE'!$H$101:$H$104)&gt;J582),
SUMIF('DADOS BASE'!$C$101:$D$104,D582,'DADOS BASE'!$H$101:$H$104),
J582)</f>
        <v>1472096.3543823583</v>
      </c>
      <c r="I582" s="225"/>
      <c r="J582" s="226">
        <f t="shared" si="393"/>
        <v>1472096.3543823583</v>
      </c>
      <c r="K582" s="226"/>
      <c r="L582" s="227">
        <v>1480.5145343751999</v>
      </c>
      <c r="M582" s="226">
        <f t="shared" si="394"/>
        <v>1.1550288270575431E-3</v>
      </c>
      <c r="N582" s="226">
        <f>L582*'DADOS BASE'!$I$29</f>
        <v>1457916.1540995603</v>
      </c>
      <c r="O582" s="228"/>
      <c r="P582" s="227">
        <v>0</v>
      </c>
      <c r="Q582" s="226">
        <f>P582*'DADOS BASE'!$I$33</f>
        <v>0</v>
      </c>
      <c r="R582" s="226"/>
      <c r="S582" s="227">
        <v>18</v>
      </c>
      <c r="T582" s="226">
        <f>S582*'DADOS BASE'!$I$37</f>
        <v>14180.20028279794</v>
      </c>
      <c r="U582" s="226"/>
      <c r="V582" s="226">
        <f t="shared" si="395"/>
        <v>14180.20028279794</v>
      </c>
      <c r="W582" s="228"/>
      <c r="X582" s="226"/>
      <c r="Y582" s="226"/>
      <c r="Z582" s="224"/>
      <c r="AA582" s="226"/>
      <c r="AB582" s="226"/>
      <c r="AC582" s="226"/>
      <c r="AD582" s="226"/>
      <c r="AE582" s="227">
        <v>1268</v>
      </c>
      <c r="AF582" s="227">
        <v>808.23829489950003</v>
      </c>
      <c r="AG582" s="226" t="s">
        <v>155</v>
      </c>
      <c r="AH582" s="229">
        <v>0.629</v>
      </c>
      <c r="AI582" s="225">
        <f t="shared" si="396"/>
        <v>508.38188749178551</v>
      </c>
      <c r="AJ582" s="226">
        <f t="shared" si="397"/>
        <v>-0.12587849530599562</v>
      </c>
      <c r="AK582" s="226"/>
      <c r="AL582" s="226">
        <f t="shared" si="398"/>
        <v>202.29376590420125</v>
      </c>
      <c r="AM582" s="228">
        <f t="shared" si="399"/>
        <v>163501.56842321024</v>
      </c>
      <c r="AN582" s="226"/>
      <c r="AO582" s="227">
        <v>2.2855778414518002</v>
      </c>
      <c r="AP582" s="225"/>
      <c r="AQ582" s="226">
        <f t="shared" si="400"/>
        <v>1847.2915374350828</v>
      </c>
      <c r="AR582" s="226">
        <f t="shared" si="401"/>
        <v>1.9654990604121435E-3</v>
      </c>
      <c r="AS582" s="228">
        <f>AR582*'DADOS BASE'!W$38</f>
        <v>589600.12405687314</v>
      </c>
      <c r="AT582" s="225"/>
      <c r="AU582" s="227">
        <v>18</v>
      </c>
      <c r="AV582" s="227">
        <v>22.5</v>
      </c>
      <c r="AW582" s="226">
        <f t="shared" si="402"/>
        <v>4.5</v>
      </c>
      <c r="AX582" s="226">
        <f>IF($AW$11&gt;0,(AW582/$AW$11)*'DADOS BASE'!W$40,0)</f>
        <v>808.54368421122979</v>
      </c>
      <c r="AY582" s="226">
        <f t="shared" si="403"/>
        <v>10.285100286533101</v>
      </c>
      <c r="AZ582" s="226">
        <f t="shared" si="404"/>
        <v>5.3791398970640374E-4</v>
      </c>
      <c r="BA582" s="226">
        <f>AZ582*'DADOS BASE'!W$41</f>
        <v>3974.0298968046091</v>
      </c>
      <c r="BB582" s="225"/>
      <c r="BC582" s="227">
        <v>0</v>
      </c>
      <c r="BD582" s="226">
        <f>IF($BC$11&gt;0,(BC582/$BC$11)*'DADOS BASE'!W$39,0)</f>
        <v>0</v>
      </c>
      <c r="BE582" s="187"/>
    </row>
    <row r="583" spans="2:57" x14ac:dyDescent="0.3">
      <c r="B583" s="184" t="s">
        <v>662</v>
      </c>
      <c r="C583" s="184" t="s">
        <v>681</v>
      </c>
      <c r="D583" s="184" t="s">
        <v>94</v>
      </c>
      <c r="E583" s="184">
        <v>2013</v>
      </c>
      <c r="F583" s="185"/>
      <c r="H583" s="186">
        <f ca="1">IF(AND(E583&gt;=2018,SUMIF('DADOS BASE'!$C$101:$D$104,D583,'DADOS BASE'!$H$101:$H$104)&gt;J583),
SUMIF('DADOS BASE'!$C$101:$D$104,D583,'DADOS BASE'!$H$101:$H$104),
J583)</f>
        <v>1786861.5646574516</v>
      </c>
      <c r="J583" s="186">
        <f t="shared" si="393"/>
        <v>1786861.5646574516</v>
      </c>
      <c r="K583" s="186"/>
      <c r="L583" s="188">
        <v>1791.1987521977001</v>
      </c>
      <c r="M583" s="186">
        <f t="shared" si="394"/>
        <v>1.3974102555169756E-3</v>
      </c>
      <c r="N583" s="186">
        <f>L583*'DADOS BASE'!$I$29</f>
        <v>1763858.1286431348</v>
      </c>
      <c r="O583" s="187"/>
      <c r="P583" s="188">
        <v>0</v>
      </c>
      <c r="Q583" s="186">
        <f>P583*'DADOS BASE'!$I$33</f>
        <v>0</v>
      </c>
      <c r="R583" s="186"/>
      <c r="S583" s="188">
        <v>29.2</v>
      </c>
      <c r="T583" s="186">
        <f>S583*'DADOS BASE'!$I$37</f>
        <v>23003.436014316656</v>
      </c>
      <c r="U583" s="186"/>
      <c r="V583" s="186">
        <f t="shared" si="395"/>
        <v>23003.436014316656</v>
      </c>
      <c r="W583" s="187"/>
      <c r="X583" s="186"/>
      <c r="Y583" s="186"/>
      <c r="Z583" s="185"/>
      <c r="AA583" s="186"/>
      <c r="AB583" s="186"/>
      <c r="AC583" s="186"/>
      <c r="AD583" s="186"/>
      <c r="AE583" s="188">
        <v>1732</v>
      </c>
      <c r="AF583" s="188">
        <v>934.89456680095998</v>
      </c>
      <c r="AG583" s="186" t="s">
        <v>155</v>
      </c>
      <c r="AH583" s="189">
        <v>0.76600000000000001</v>
      </c>
      <c r="AI583" s="183">
        <f t="shared" si="396"/>
        <v>716.12923816953537</v>
      </c>
      <c r="AJ583" s="186">
        <f t="shared" si="397"/>
        <v>5.8906291335937014E-2</v>
      </c>
      <c r="AK583" s="186"/>
      <c r="AL583" s="186">
        <f t="shared" si="398"/>
        <v>169.09230542027808</v>
      </c>
      <c r="AM583" s="187">
        <f t="shared" si="399"/>
        <v>158083.4776252665</v>
      </c>
      <c r="AN583" s="186"/>
      <c r="AO583" s="188">
        <v>2.0097198399085001</v>
      </c>
      <c r="AQ583" s="186">
        <f t="shared" si="400"/>
        <v>1878.8761591225518</v>
      </c>
      <c r="AR583" s="186">
        <f t="shared" si="401"/>
        <v>1.9991047707140423E-3</v>
      </c>
      <c r="AS583" s="187">
        <f>AR583*'DADOS BASE'!W$38</f>
        <v>599680.98919799621</v>
      </c>
      <c r="AU583" s="188">
        <v>29.2</v>
      </c>
      <c r="AV583" s="188">
        <v>36.5</v>
      </c>
      <c r="AW583" s="186">
        <f t="shared" si="402"/>
        <v>7.3</v>
      </c>
      <c r="AX583" s="186">
        <f>IF($AW$11&gt;0,(AW583/$AW$11)*'DADOS BASE'!W$40,0)</f>
        <v>1311.6375321648841</v>
      </c>
      <c r="AY583" s="186">
        <f t="shared" si="403"/>
        <v>14.67095483133205</v>
      </c>
      <c r="AZ583" s="186">
        <f t="shared" si="404"/>
        <v>7.6729556603909383E-4</v>
      </c>
      <c r="BA583" s="186">
        <f>AZ583*'DADOS BASE'!W$41</f>
        <v>5668.6674402896151</v>
      </c>
      <c r="BC583" s="188">
        <v>0</v>
      </c>
      <c r="BD583" s="186">
        <f>IF($BC$11&gt;0,(BC583/$BC$11)*'DADOS BASE'!W$39,0)</f>
        <v>0</v>
      </c>
      <c r="BE583" s="187"/>
    </row>
    <row r="584" spans="2:57" x14ac:dyDescent="0.3">
      <c r="B584" s="223" t="s">
        <v>662</v>
      </c>
      <c r="C584" s="223" t="s">
        <v>682</v>
      </c>
      <c r="D584" s="223" t="s">
        <v>94</v>
      </c>
      <c r="E584" s="223">
        <v>2009</v>
      </c>
      <c r="F584" s="224"/>
      <c r="G584" s="225"/>
      <c r="H584" s="226">
        <f ca="1">IF(AND(E584&gt;=2018,SUMIF('DADOS BASE'!$C$101:$D$104,D584,'DADOS BASE'!$H$101:$H$104)&gt;J584),
SUMIF('DADOS BASE'!$C$101:$D$104,D584,'DADOS BASE'!$H$101:$H$104),
J584)</f>
        <v>2355871.9127500635</v>
      </c>
      <c r="I584" s="225"/>
      <c r="J584" s="226">
        <f t="shared" si="393"/>
        <v>2355871.9127500635</v>
      </c>
      <c r="K584" s="226"/>
      <c r="L584" s="227">
        <v>2336.209026039</v>
      </c>
      <c r="M584" s="226">
        <f t="shared" si="394"/>
        <v>1.8226020133235861E-3</v>
      </c>
      <c r="N584" s="226">
        <f>L584*'DADOS BASE'!$I$29</f>
        <v>2300549.4369245367</v>
      </c>
      <c r="O584" s="228"/>
      <c r="P584" s="227">
        <v>0</v>
      </c>
      <c r="Q584" s="226">
        <f>P584*'DADOS BASE'!$I$33</f>
        <v>0</v>
      </c>
      <c r="R584" s="226"/>
      <c r="S584" s="227">
        <v>70.224999999999994</v>
      </c>
      <c r="T584" s="226">
        <f>S584*'DADOS BASE'!$I$37</f>
        <v>55322.475825526955</v>
      </c>
      <c r="U584" s="226"/>
      <c r="V584" s="226">
        <f t="shared" si="395"/>
        <v>55322.475825526955</v>
      </c>
      <c r="W584" s="228"/>
      <c r="X584" s="226"/>
      <c r="Y584" s="226"/>
      <c r="Z584" s="224"/>
      <c r="AA584" s="226"/>
      <c r="AB584" s="226"/>
      <c r="AC584" s="226"/>
      <c r="AD584" s="226"/>
      <c r="AE584" s="227">
        <v>1301</v>
      </c>
      <c r="AF584" s="227">
        <v>1006.4624483586</v>
      </c>
      <c r="AG584" s="226" t="s">
        <v>155</v>
      </c>
      <c r="AH584" s="229">
        <v>0.67800000000000005</v>
      </c>
      <c r="AI584" s="225">
        <f t="shared" si="396"/>
        <v>682.38153998713085</v>
      </c>
      <c r="AJ584" s="226">
        <f t="shared" si="397"/>
        <v>-5.9787586215085349E-2</v>
      </c>
      <c r="AK584" s="226"/>
      <c r="AL584" s="226">
        <f t="shared" si="398"/>
        <v>190.41879098659368</v>
      </c>
      <c r="AM584" s="228">
        <f t="shared" si="399"/>
        <v>191649.36258985157</v>
      </c>
      <c r="AN584" s="226"/>
      <c r="AO584" s="227">
        <v>2.2151248164464001</v>
      </c>
      <c r="AP584" s="225"/>
      <c r="AQ584" s="226">
        <f t="shared" si="400"/>
        <v>2229.4399461805383</v>
      </c>
      <c r="AR584" s="226">
        <f t="shared" si="401"/>
        <v>2.3721010087814241E-3</v>
      </c>
      <c r="AS584" s="228">
        <f>AR584*'DADOS BASE'!W$38</f>
        <v>711570.44906431669</v>
      </c>
      <c r="AT584" s="225"/>
      <c r="AU584" s="227">
        <v>70.224999999999994</v>
      </c>
      <c r="AV584" s="227">
        <v>89.75</v>
      </c>
      <c r="AW584" s="226">
        <f t="shared" si="402"/>
        <v>17.556249999999999</v>
      </c>
      <c r="AX584" s="226">
        <f>IF($AW$11&gt;0,(AW584/$AW$11)*'DADOS BASE'!W$40,0)</f>
        <v>3154.4433457629784</v>
      </c>
      <c r="AY584" s="226">
        <f t="shared" si="403"/>
        <v>38.889285058737109</v>
      </c>
      <c r="AZ584" s="226">
        <f t="shared" si="404"/>
        <v>2.0339218772777094E-3</v>
      </c>
      <c r="BA584" s="226">
        <f>AZ584*'DADOS BASE'!W$41</f>
        <v>15026.317408993662</v>
      </c>
      <c r="BB584" s="225"/>
      <c r="BC584" s="227">
        <v>0</v>
      </c>
      <c r="BD584" s="226">
        <f>IF($BC$11&gt;0,(BC584/$BC$11)*'DADOS BASE'!W$39,0)</f>
        <v>0</v>
      </c>
      <c r="BE584" s="187"/>
    </row>
    <row r="585" spans="2:57" x14ac:dyDescent="0.3">
      <c r="B585" s="184" t="s">
        <v>662</v>
      </c>
      <c r="C585" s="184" t="s">
        <v>683</v>
      </c>
      <c r="D585" s="184" t="s">
        <v>94</v>
      </c>
      <c r="E585" s="184">
        <v>2009</v>
      </c>
      <c r="F585" s="185"/>
      <c r="H585" s="186">
        <f ca="1">IF(AND(E585&gt;=2018,SUMIF('DADOS BASE'!$C$101:$D$104,D585,'DADOS BASE'!$H$101:$H$104)&gt;J585),
SUMIF('DADOS BASE'!$C$101:$D$104,D585,'DADOS BASE'!$H$101:$H$104),
J585)</f>
        <v>1917556.6534891899</v>
      </c>
      <c r="J585" s="186">
        <f t="shared" si="393"/>
        <v>1917556.6534891899</v>
      </c>
      <c r="K585" s="186"/>
      <c r="L585" s="188">
        <v>1928.0196758549</v>
      </c>
      <c r="M585" s="186">
        <f t="shared" si="394"/>
        <v>1.5041515993534933E-3</v>
      </c>
      <c r="N585" s="186">
        <f>L585*'DADOS BASE'!$I$29</f>
        <v>1898590.6356109476</v>
      </c>
      <c r="O585" s="187"/>
      <c r="P585" s="188">
        <v>0</v>
      </c>
      <c r="Q585" s="186">
        <f>P585*'DADOS BASE'!$I$33</f>
        <v>0</v>
      </c>
      <c r="R585" s="186"/>
      <c r="S585" s="188">
        <v>24.074999999999999</v>
      </c>
      <c r="T585" s="186">
        <f>S585*'DADOS BASE'!$I$37</f>
        <v>18966.017878242244</v>
      </c>
      <c r="U585" s="186"/>
      <c r="V585" s="186">
        <f t="shared" si="395"/>
        <v>18966.017878242244</v>
      </c>
      <c r="W585" s="187"/>
      <c r="X585" s="186"/>
      <c r="Y585" s="186"/>
      <c r="Z585" s="185"/>
      <c r="AA585" s="186"/>
      <c r="AB585" s="186"/>
      <c r="AC585" s="186"/>
      <c r="AD585" s="186"/>
      <c r="AE585" s="188">
        <v>1398</v>
      </c>
      <c r="AF585" s="188">
        <v>906.23239138270003</v>
      </c>
      <c r="AG585" s="186" t="s">
        <v>155</v>
      </c>
      <c r="AH585" s="189">
        <v>0.63500000000000001</v>
      </c>
      <c r="AI585" s="183">
        <f t="shared" si="396"/>
        <v>575.45756852801458</v>
      </c>
      <c r="AJ585" s="186">
        <f t="shared" si="397"/>
        <v>-0.1177857309275168</v>
      </c>
      <c r="AK585" s="186"/>
      <c r="AL585" s="186">
        <f t="shared" si="398"/>
        <v>200.83968734286157</v>
      </c>
      <c r="AM585" s="187">
        <f t="shared" si="399"/>
        <v>182007.43014527523</v>
      </c>
      <c r="AN585" s="186"/>
      <c r="AO585" s="188">
        <v>2.3113970588235002</v>
      </c>
      <c r="AQ585" s="186">
        <f t="shared" si="400"/>
        <v>2094.66288405256</v>
      </c>
      <c r="AR585" s="186">
        <f t="shared" si="401"/>
        <v>2.2286996107836487E-3</v>
      </c>
      <c r="AS585" s="187">
        <f>AR585*'DADOS BASE'!W$38</f>
        <v>668553.64801243099</v>
      </c>
      <c r="AU585" s="188">
        <v>24.074999999999999</v>
      </c>
      <c r="AV585" s="188">
        <v>33.75</v>
      </c>
      <c r="AW585" s="186">
        <f t="shared" si="402"/>
        <v>6.0187499999999998</v>
      </c>
      <c r="AX585" s="186">
        <f>IF($AW$11&gt;0,(AW585/$AW$11)*'DADOS BASE'!W$40,0)</f>
        <v>1081.4271776325199</v>
      </c>
      <c r="AY585" s="186">
        <f t="shared" si="403"/>
        <v>13.911721047793941</v>
      </c>
      <c r="AZ585" s="186">
        <f t="shared" si="404"/>
        <v>7.2758739963865358E-4</v>
      </c>
      <c r="BA585" s="186">
        <f>AZ585*'DADOS BASE'!W$41</f>
        <v>5375.3093134471237</v>
      </c>
      <c r="BC585" s="188">
        <v>0</v>
      </c>
      <c r="BD585" s="186">
        <f>IF($BC$11&gt;0,(BC585/$BC$11)*'DADOS BASE'!W$39,0)</f>
        <v>0</v>
      </c>
      <c r="BE585" s="187"/>
    </row>
    <row r="586" spans="2:57" x14ac:dyDescent="0.3">
      <c r="B586" s="223" t="s">
        <v>662</v>
      </c>
      <c r="C586" s="223" t="s">
        <v>684</v>
      </c>
      <c r="D586" s="223" t="s">
        <v>92</v>
      </c>
      <c r="E586" s="223">
        <v>2013</v>
      </c>
      <c r="F586" s="224"/>
      <c r="G586" s="225"/>
      <c r="H586" s="226">
        <f ca="1">IF(AND(E586&gt;=2018,SUMIF('DADOS BASE'!$C$101:$D$104,D586,'DADOS BASE'!$H$101:$H$104)&gt;J586),
SUMIF('DADOS BASE'!$C$101:$D$104,D586,'DADOS BASE'!$H$101:$H$104),
J586)</f>
        <v>1486906.512983053</v>
      </c>
      <c r="I586" s="225"/>
      <c r="J586" s="226">
        <f t="shared" si="393"/>
        <v>1486906.512983053</v>
      </c>
      <c r="K586" s="226"/>
      <c r="L586" s="227">
        <v>1501.8642573407999</v>
      </c>
      <c r="M586" s="226">
        <f t="shared" si="394"/>
        <v>1.171684891488121E-3</v>
      </c>
      <c r="N586" s="226">
        <f>L586*'DADOS BASE'!$I$29</f>
        <v>1478939.9976852867</v>
      </c>
      <c r="O586" s="228"/>
      <c r="P586" s="227">
        <v>0</v>
      </c>
      <c r="Q586" s="226">
        <f>P586*'DADOS BASE'!$I$33</f>
        <v>0</v>
      </c>
      <c r="R586" s="226"/>
      <c r="S586" s="227">
        <v>10.112500000000001</v>
      </c>
      <c r="T586" s="226">
        <f>S586*'DADOS BASE'!$I$37</f>
        <v>7966.5152977663429</v>
      </c>
      <c r="U586" s="226"/>
      <c r="V586" s="226">
        <f t="shared" si="395"/>
        <v>7966.5152977663429</v>
      </c>
      <c r="W586" s="228"/>
      <c r="X586" s="226"/>
      <c r="Y586" s="226"/>
      <c r="Z586" s="224"/>
      <c r="AA586" s="226"/>
      <c r="AB586" s="226"/>
      <c r="AC586" s="226"/>
      <c r="AD586" s="226"/>
      <c r="AE586" s="227">
        <v>1245</v>
      </c>
      <c r="AF586" s="227">
        <v>819.49561327600998</v>
      </c>
      <c r="AG586" s="226" t="s">
        <v>155</v>
      </c>
      <c r="AH586" s="229">
        <v>0.66100000000000003</v>
      </c>
      <c r="AI586" s="225">
        <f t="shared" si="396"/>
        <v>541.68660037544259</v>
      </c>
      <c r="AJ586" s="226">
        <f t="shared" si="397"/>
        <v>-8.2717085287441969E-2</v>
      </c>
      <c r="AK586" s="226"/>
      <c r="AL586" s="226">
        <f t="shared" si="398"/>
        <v>194.53868024372284</v>
      </c>
      <c r="AM586" s="228">
        <f t="shared" si="399"/>
        <v>159423.59507223524</v>
      </c>
      <c r="AN586" s="226"/>
      <c r="AO586" s="227">
        <v>2.207345971564</v>
      </c>
      <c r="AP586" s="225"/>
      <c r="AQ586" s="226">
        <f t="shared" si="400"/>
        <v>1808.9103406791703</v>
      </c>
      <c r="AR586" s="226">
        <f t="shared" si="401"/>
        <v>1.9246618646406608E-3</v>
      </c>
      <c r="AS586" s="228">
        <f>AR586*'DADOS BASE'!W$38</f>
        <v>577349.99574190343</v>
      </c>
      <c r="AT586" s="225"/>
      <c r="AU586" s="227">
        <v>10.112500000000001</v>
      </c>
      <c r="AV586" s="227">
        <v>19.75</v>
      </c>
      <c r="AW586" s="226">
        <f t="shared" si="402"/>
        <v>2.5281250000000002</v>
      </c>
      <c r="AX586" s="226">
        <f>IF($AW$11&gt;0,(AW586/$AW$11)*'DADOS BASE'!W$40,0)</f>
        <v>454.24433369922571</v>
      </c>
      <c r="AY586" s="226">
        <f t="shared" si="403"/>
        <v>5.5804465343602381</v>
      </c>
      <c r="AZ586" s="226">
        <f t="shared" si="404"/>
        <v>2.91859114253988E-4</v>
      </c>
      <c r="BA586" s="226">
        <f>AZ586*'DADOS BASE'!W$41</f>
        <v>2156.2124575590915</v>
      </c>
      <c r="BB586" s="225"/>
      <c r="BC586" s="227">
        <v>0</v>
      </c>
      <c r="BD586" s="226">
        <f>IF($BC$11&gt;0,(BC586/$BC$11)*'DADOS BASE'!W$39,0)</f>
        <v>0</v>
      </c>
      <c r="BE586" s="187"/>
    </row>
    <row r="587" spans="2:57" x14ac:dyDescent="0.3">
      <c r="B587" s="184" t="s">
        <v>662</v>
      </c>
      <c r="C587" s="184" t="s">
        <v>685</v>
      </c>
      <c r="D587" s="184" t="s">
        <v>94</v>
      </c>
      <c r="E587" s="184">
        <v>2013</v>
      </c>
      <c r="F587" s="185"/>
      <c r="H587" s="186">
        <f ca="1">IF(AND(E587&gt;=2018,SUMIF('DADOS BASE'!$C$101:$D$104,D587,'DADOS BASE'!$H$101:$H$104)&gt;J587),
SUMIF('DADOS BASE'!$C$101:$D$104,D587,'DADOS BASE'!$H$101:$H$104),
J587)</f>
        <v>1787835.6036525918</v>
      </c>
      <c r="J587" s="186">
        <f t="shared" si="393"/>
        <v>1787835.6036525918</v>
      </c>
      <c r="K587" s="186"/>
      <c r="L587" s="188">
        <v>1805.9478892515001</v>
      </c>
      <c r="M587" s="186">
        <f t="shared" si="394"/>
        <v>1.4089168487153672E-3</v>
      </c>
      <c r="N587" s="186">
        <f>L587*'DADOS BASE'!$I$29</f>
        <v>1778382.1367973932</v>
      </c>
      <c r="O587" s="187"/>
      <c r="P587" s="188">
        <v>0</v>
      </c>
      <c r="Q587" s="186">
        <f>P587*'DADOS BASE'!$I$33</f>
        <v>0</v>
      </c>
      <c r="R587" s="186"/>
      <c r="S587" s="188">
        <v>12</v>
      </c>
      <c r="T587" s="186">
        <f>S587*'DADOS BASE'!$I$37</f>
        <v>9453.4668551986269</v>
      </c>
      <c r="U587" s="186"/>
      <c r="V587" s="186">
        <f t="shared" si="395"/>
        <v>9453.4668551986269</v>
      </c>
      <c r="W587" s="187"/>
      <c r="X587" s="186"/>
      <c r="Y587" s="186"/>
      <c r="Z587" s="185"/>
      <c r="AA587" s="186"/>
      <c r="AB587" s="186"/>
      <c r="AC587" s="186"/>
      <c r="AD587" s="186"/>
      <c r="AE587" s="188">
        <v>1295</v>
      </c>
      <c r="AF587" s="188">
        <v>901.92561259476997</v>
      </c>
      <c r="AG587" s="186" t="s">
        <v>155</v>
      </c>
      <c r="AH587" s="189">
        <v>0.622</v>
      </c>
      <c r="AI587" s="183">
        <f t="shared" si="396"/>
        <v>560.99773103394693</v>
      </c>
      <c r="AJ587" s="186">
        <f t="shared" si="397"/>
        <v>-0.13532005374755421</v>
      </c>
      <c r="AK587" s="186"/>
      <c r="AL587" s="186">
        <f t="shared" si="398"/>
        <v>203.99019089243092</v>
      </c>
      <c r="AM587" s="187">
        <f t="shared" si="399"/>
        <v>183983.97788397982</v>
      </c>
      <c r="AN587" s="186"/>
      <c r="AO587" s="188">
        <v>2.2957969865185999</v>
      </c>
      <c r="AQ587" s="186">
        <f t="shared" si="400"/>
        <v>2070.6381034590149</v>
      </c>
      <c r="AR587" s="186">
        <f t="shared" si="401"/>
        <v>2.2031374930960501E-3</v>
      </c>
      <c r="AS587" s="187">
        <f>AR587*'DADOS BASE'!W$38</f>
        <v>660885.6576972364</v>
      </c>
      <c r="AU587" s="188">
        <v>12</v>
      </c>
      <c r="AV587" s="188">
        <v>15</v>
      </c>
      <c r="AW587" s="186">
        <f t="shared" si="402"/>
        <v>3</v>
      </c>
      <c r="AX587" s="186">
        <f>IF($AW$11&gt;0,(AW587/$AW$11)*'DADOS BASE'!W$40,0)</f>
        <v>539.0291228074866</v>
      </c>
      <c r="AY587" s="186">
        <f t="shared" si="403"/>
        <v>6.8873909595558001</v>
      </c>
      <c r="AZ587" s="186">
        <f t="shared" si="404"/>
        <v>3.6021272000365663E-4</v>
      </c>
      <c r="BA587" s="186">
        <f>AZ587*'DADOS BASE'!W$41</f>
        <v>2661.19890149196</v>
      </c>
      <c r="BC587" s="188">
        <v>0</v>
      </c>
      <c r="BD587" s="186">
        <f>IF($BC$11&gt;0,(BC587/$BC$11)*'DADOS BASE'!W$39,0)</f>
        <v>0</v>
      </c>
      <c r="BE587" s="187"/>
    </row>
    <row r="588" spans="2:57" x14ac:dyDescent="0.3">
      <c r="F588" s="185"/>
      <c r="H588" s="186"/>
      <c r="J588" s="186"/>
      <c r="K588" s="186"/>
      <c r="L588" s="186"/>
      <c r="M588" s="186"/>
      <c r="N588" s="186"/>
      <c r="O588" s="187"/>
      <c r="P588" s="186"/>
      <c r="Q588" s="186"/>
      <c r="R588" s="186"/>
      <c r="S588" s="186"/>
      <c r="T588" s="186"/>
      <c r="U588" s="186"/>
      <c r="V588" s="186"/>
      <c r="W588" s="187"/>
      <c r="X588" s="186"/>
      <c r="Y588" s="186"/>
      <c r="Z588" s="185"/>
      <c r="AA588" s="186"/>
      <c r="AB588" s="186"/>
      <c r="AC588" s="186"/>
      <c r="AD588" s="186"/>
      <c r="AE588" s="186"/>
      <c r="AF588" s="186"/>
      <c r="AG588" s="186"/>
      <c r="AH588" s="185"/>
      <c r="AJ588" s="186"/>
      <c r="AK588" s="186"/>
      <c r="AL588" s="186"/>
      <c r="AM588" s="187"/>
      <c r="AN588" s="186"/>
      <c r="AO588" s="186"/>
      <c r="AQ588" s="186"/>
      <c r="AR588" s="186"/>
      <c r="AS588" s="187"/>
      <c r="AU588" s="186"/>
      <c r="AV588" s="186"/>
      <c r="AW588" s="186"/>
      <c r="AX588" s="186"/>
      <c r="AY588" s="186"/>
      <c r="AZ588" s="186"/>
      <c r="BA588" s="186"/>
      <c r="BC588" s="186"/>
      <c r="BD588" s="186"/>
      <c r="BE588" s="187"/>
    </row>
    <row r="589" spans="2:57" x14ac:dyDescent="0.3">
      <c r="B589" s="209" t="s">
        <v>686</v>
      </c>
      <c r="C589" s="209" t="s">
        <v>687</v>
      </c>
      <c r="D589" s="211" t="s">
        <v>154</v>
      </c>
      <c r="E589" s="211"/>
      <c r="F589" s="210"/>
      <c r="G589" s="211"/>
      <c r="H589" s="212">
        <f ca="1">SUM(H590:H600)</f>
        <v>29280256.078830425</v>
      </c>
      <c r="I589" s="211"/>
      <c r="J589" s="212">
        <f>SUM(J590:J600)</f>
        <v>28815667.945744097</v>
      </c>
      <c r="K589" s="212"/>
      <c r="L589" s="212">
        <f>SUM(L590:L600)</f>
        <v>24937.427096946201</v>
      </c>
      <c r="M589" s="212">
        <f>SUM(M590:M600)</f>
        <v>1.9455024926029688E-2</v>
      </c>
      <c r="N589" s="212">
        <f>SUM(N590:N600)</f>
        <v>24556785.470303435</v>
      </c>
      <c r="O589" s="214"/>
      <c r="P589" s="212">
        <f>SUM(P590:P600)</f>
        <v>466.86046511628001</v>
      </c>
      <c r="Q589" s="212">
        <f>SUM(Q590:Q600)</f>
        <v>114933.59200467102</v>
      </c>
      <c r="R589" s="212"/>
      <c r="S589" s="212">
        <f>SUM(S590:S600)</f>
        <v>5260.227529531765</v>
      </c>
      <c r="T589" s="212">
        <f>SUM(T590:T600)</f>
        <v>4143948.8834359921</v>
      </c>
      <c r="U589" s="212"/>
      <c r="V589" s="212">
        <f>SUM(V590:V600)</f>
        <v>4258882.4754406633</v>
      </c>
      <c r="W589" s="214"/>
      <c r="X589" s="212">
        <f>SUMIF(INDICADORES!$D$13:$D$53,C589,INDICADORES!$L$13:$L$53)</f>
        <v>2.7758871249609095E-2</v>
      </c>
      <c r="Y589" s="212">
        <f>X589*'DADOS BASE'!$I$79</f>
        <v>1152637.6216091868</v>
      </c>
      <c r="Z589" s="210">
        <f>SUMIF(INDICADORES!$D$13:$D$53,C589,INDICADORES!$R$13:$R$53)</f>
        <v>1.1284314287351709E-2</v>
      </c>
      <c r="AA589" s="212">
        <f>Z589*'DADOS BASE'!$I$84</f>
        <v>468561.02558013058</v>
      </c>
      <c r="AB589" s="212">
        <f>SUMIF(INDICADORES!$D$13:$D$53,C589,INDICADORES!$Z$13:$Z$53)</f>
        <v>2.0770221187754018E-3</v>
      </c>
      <c r="AC589" s="212">
        <f>AB589*'DADOS BASE'!$I$89</f>
        <v>172489.27836348291</v>
      </c>
      <c r="AD589" s="212"/>
      <c r="AE589" s="212">
        <f>SUM(AE590:AE600)</f>
        <v>11036</v>
      </c>
      <c r="AF589" s="212">
        <f>SUM(AF590:AF600)</f>
        <v>9640.501427957015</v>
      </c>
      <c r="AG589" s="212" t="s">
        <v>155</v>
      </c>
      <c r="AH589" s="210"/>
      <c r="AI589" s="211"/>
      <c r="AJ589" s="212"/>
      <c r="AK589" s="212"/>
      <c r="AL589" s="212"/>
      <c r="AM589" s="214">
        <f>SUM(AM590:AM600)</f>
        <v>1761564.8850959444</v>
      </c>
      <c r="AN589" s="212"/>
      <c r="AO589" s="212"/>
      <c r="AP589" s="211"/>
      <c r="AQ589" s="212">
        <f>SUM(AQ590:AQ600)</f>
        <v>18648.63206604257</v>
      </c>
      <c r="AR589" s="212"/>
      <c r="AS589" s="214">
        <f>SUM(AS590:AS600)</f>
        <v>5952084.7450512797</v>
      </c>
      <c r="AT589" s="211"/>
      <c r="AU589" s="212">
        <f t="shared" ref="AU589:BA589" si="405">SUM(AU590:AU600)</f>
        <v>5060.6331015067162</v>
      </c>
      <c r="AV589" s="212">
        <f t="shared" si="405"/>
        <v>4291.5</v>
      </c>
      <c r="AW589" s="212">
        <f t="shared" si="405"/>
        <v>1265.1582753766791</v>
      </c>
      <c r="AX589" s="212">
        <f t="shared" si="405"/>
        <v>227319.05179630796</v>
      </c>
      <c r="AY589" s="212">
        <f t="shared" si="405"/>
        <v>2355.4488034819533</v>
      </c>
      <c r="AZ589" s="212">
        <f t="shared" si="405"/>
        <v>0.12319071551389239</v>
      </c>
      <c r="BA589" s="212">
        <f t="shared" si="405"/>
        <v>910114.99204206618</v>
      </c>
      <c r="BB589" s="211"/>
      <c r="BC589" s="212">
        <f>SUM(BC590:BC600)</f>
        <v>256</v>
      </c>
      <c r="BD589" s="212">
        <f>SUM(BD590:BD600)</f>
        <v>1383220.227203581</v>
      </c>
      <c r="BE589" s="187"/>
    </row>
    <row r="590" spans="2:57" x14ac:dyDescent="0.3">
      <c r="B590" s="216" t="s">
        <v>686</v>
      </c>
      <c r="C590" s="218" t="s">
        <v>156</v>
      </c>
      <c r="D590" s="218" t="s">
        <v>157</v>
      </c>
      <c r="E590" s="218"/>
      <c r="F590" s="217"/>
      <c r="G590" s="218"/>
      <c r="H590" s="219"/>
      <c r="I590" s="218"/>
      <c r="J590" s="219"/>
      <c r="K590" s="219"/>
      <c r="L590" s="219">
        <v>0</v>
      </c>
      <c r="M590" s="219">
        <v>0</v>
      </c>
      <c r="N590" s="219">
        <v>0</v>
      </c>
      <c r="O590" s="221"/>
      <c r="P590" s="219"/>
      <c r="Q590" s="219"/>
      <c r="R590" s="219"/>
      <c r="S590" s="219"/>
      <c r="T590" s="219"/>
      <c r="U590" s="219"/>
      <c r="V590" s="219"/>
      <c r="W590" s="221"/>
      <c r="X590" s="219"/>
      <c r="Y590" s="219"/>
      <c r="Z590" s="217"/>
      <c r="AA590" s="219"/>
      <c r="AB590" s="219"/>
      <c r="AC590" s="219"/>
      <c r="AD590" s="219"/>
      <c r="AE590" s="219"/>
      <c r="AF590" s="219"/>
      <c r="AG590" s="219" t="s">
        <v>155</v>
      </c>
      <c r="AH590" s="217"/>
      <c r="AI590" s="218"/>
      <c r="AJ590" s="219"/>
      <c r="AK590" s="219"/>
      <c r="AL590" s="219"/>
      <c r="AM590" s="221"/>
      <c r="AN590" s="219"/>
      <c r="AO590" s="219"/>
      <c r="AP590" s="218"/>
      <c r="AQ590" s="219"/>
      <c r="AR590" s="219"/>
      <c r="AS590" s="221"/>
      <c r="AT590" s="218"/>
      <c r="AU590" s="219"/>
      <c r="AV590" s="219"/>
      <c r="AW590" s="219"/>
      <c r="AX590" s="219"/>
      <c r="AY590" s="219"/>
      <c r="AZ590" s="219"/>
      <c r="BA590" s="219"/>
      <c r="BB590" s="218"/>
      <c r="BC590" s="219"/>
      <c r="BD590" s="219"/>
      <c r="BE590" s="187"/>
    </row>
    <row r="591" spans="2:57" x14ac:dyDescent="0.3">
      <c r="B591" s="184" t="s">
        <v>686</v>
      </c>
      <c r="C591" s="184" t="s">
        <v>688</v>
      </c>
      <c r="D591" s="184" t="s">
        <v>92</v>
      </c>
      <c r="E591" s="184">
        <v>2009</v>
      </c>
      <c r="F591" s="185"/>
      <c r="H591" s="186">
        <f ca="1">IF(AND(E591&gt;=2018,SUMIF('DADOS BASE'!$C$101:$D$104,D591,'DADOS BASE'!$H$101:$H$104)&gt;J591),
SUMIF('DADOS BASE'!$C$101:$D$104,D591,'DADOS BASE'!$H$101:$H$104),
J591)</f>
        <v>3549658.1858722195</v>
      </c>
      <c r="J591" s="186">
        <f t="shared" ref="J591:J600" si="406">N591+Q591+T591</f>
        <v>3549658.1858722195</v>
      </c>
      <c r="K591" s="186"/>
      <c r="L591" s="188">
        <v>3466.8798454275002</v>
      </c>
      <c r="M591" s="186">
        <f t="shared" ref="M591:M600" si="407">L591/$L$11</f>
        <v>2.7046989870338949E-3</v>
      </c>
      <c r="N591" s="186">
        <f>L591*'DADOS BASE'!$I$29</f>
        <v>3413961.8447609385</v>
      </c>
      <c r="O591" s="187"/>
      <c r="P591" s="188">
        <v>0</v>
      </c>
      <c r="Q591" s="186">
        <f>P591*'DADOS BASE'!$I$33</f>
        <v>0</v>
      </c>
      <c r="R591" s="186"/>
      <c r="S591" s="188">
        <v>172.24962209921</v>
      </c>
      <c r="T591" s="186">
        <f>S591*'DADOS BASE'!$I$37</f>
        <v>135696.3411112809</v>
      </c>
      <c r="U591" s="186"/>
      <c r="V591" s="186">
        <f t="shared" ref="V591:V600" si="408">T591+Q591</f>
        <v>135696.3411112809</v>
      </c>
      <c r="W591" s="187"/>
      <c r="X591" s="186"/>
      <c r="Y591" s="186"/>
      <c r="Z591" s="185"/>
      <c r="AA591" s="186"/>
      <c r="AB591" s="186"/>
      <c r="AC591" s="186"/>
      <c r="AD591" s="186"/>
      <c r="AE591" s="188">
        <v>1342</v>
      </c>
      <c r="AF591" s="188">
        <v>1239.5925801108999</v>
      </c>
      <c r="AG591" s="186" t="s">
        <v>155</v>
      </c>
      <c r="AH591" s="189">
        <v>0.70199999999999996</v>
      </c>
      <c r="AI591" s="183">
        <f t="shared" ref="AI591:AI600" si="409">AF591*AH591</f>
        <v>870.19399123785172</v>
      </c>
      <c r="AJ591" s="186">
        <f t="shared" ref="AJ591:AJ600" si="410">(AH591-$AI$12)*$AJ$12</f>
        <v>-2.7416528701170267E-2</v>
      </c>
      <c r="AK591" s="186"/>
      <c r="AL591" s="186">
        <f t="shared" ref="AL591:AL600" si="411">$AL$11-(AJ591*$AL$11)</f>
        <v>184.60247674123491</v>
      </c>
      <c r="AM591" s="187">
        <f t="shared" ref="AM591:AM600" si="412">AF591*AL591</f>
        <v>228831.86043852978</v>
      </c>
      <c r="AN591" s="186"/>
      <c r="AO591" s="188">
        <v>1.9934593023256</v>
      </c>
      <c r="AQ591" s="186">
        <f t="shared" ref="AQ591:AQ600" si="413">AF591*AO591</f>
        <v>2471.0773599158651</v>
      </c>
      <c r="AR591" s="186">
        <f t="shared" ref="AR591:AR600" si="414">AQ591/$AQ$11</f>
        <v>2.6292007139620392E-3</v>
      </c>
      <c r="AS591" s="187">
        <f>AR591*'DADOS BASE'!W$38</f>
        <v>788693.87340097874</v>
      </c>
      <c r="AU591" s="188">
        <v>172.24962209921</v>
      </c>
      <c r="AV591" s="188">
        <v>708</v>
      </c>
      <c r="AW591" s="186">
        <f t="shared" ref="AW591:AW600" si="415">AU591/4</f>
        <v>43.0624055248025</v>
      </c>
      <c r="AX591" s="186">
        <f>IF($AW$11&gt;0,(AW591/$AW$11)*'DADOS BASE'!W$40,0)</f>
        <v>7737.2968920048515</v>
      </c>
      <c r="AY591" s="186">
        <f t="shared" ref="AY591:AY600" si="416">AO591*AW591</f>
        <v>85.843152873934855</v>
      </c>
      <c r="AZ591" s="186">
        <f t="shared" ref="AZ591:AZ600" si="417">IF($AY$11&gt;0,AY591/$AY$11,0)</f>
        <v>4.4896239769150669E-3</v>
      </c>
      <c r="BA591" s="186">
        <f>AZ591*'DADOS BASE'!W$41</f>
        <v>33168.685423871357</v>
      </c>
      <c r="BC591" s="188">
        <v>91</v>
      </c>
      <c r="BD591" s="186">
        <f>IF($BC$11&gt;0,(BC591/$BC$11)*'DADOS BASE'!W$39,0)</f>
        <v>491691.56513877294</v>
      </c>
      <c r="BE591" s="187"/>
    </row>
    <row r="592" spans="2:57" x14ac:dyDescent="0.3">
      <c r="B592" s="223" t="s">
        <v>686</v>
      </c>
      <c r="C592" s="223" t="s">
        <v>689</v>
      </c>
      <c r="D592" s="223" t="s">
        <v>98</v>
      </c>
      <c r="E592" s="223">
        <v>2018</v>
      </c>
      <c r="F592" s="224"/>
      <c r="G592" s="225"/>
      <c r="H592" s="226">
        <f ca="1">IF(AND(E592&gt;=2018,SUMIF('DADOS BASE'!$C$101:$D$104,D592,'DADOS BASE'!$H$101:$H$104)&gt;J592),
SUMIF('DADOS BASE'!$C$101:$D$104,D592,'DADOS BASE'!$H$101:$H$104),
J592)</f>
        <v>700000</v>
      </c>
      <c r="I592" s="225"/>
      <c r="J592" s="226">
        <f t="shared" si="406"/>
        <v>235411.86691367111</v>
      </c>
      <c r="K592" s="226"/>
      <c r="L592" s="227">
        <v>39.820902086338997</v>
      </c>
      <c r="M592" s="226">
        <f t="shared" si="407"/>
        <v>3.1066422356041041E-5</v>
      </c>
      <c r="N592" s="226">
        <f>L592*'DADOS BASE'!$I$29</f>
        <v>39213.081043470367</v>
      </c>
      <c r="O592" s="228"/>
      <c r="P592" s="227">
        <v>0</v>
      </c>
      <c r="Q592" s="226">
        <f>P592*'DADOS BASE'!$I$33</f>
        <v>0</v>
      </c>
      <c r="R592" s="226"/>
      <c r="S592" s="227">
        <v>249.04994818358</v>
      </c>
      <c r="T592" s="226">
        <f>S592*'DADOS BASE'!$I$37</f>
        <v>196198.78587020075</v>
      </c>
      <c r="U592" s="226"/>
      <c r="V592" s="226">
        <f t="shared" si="408"/>
        <v>196198.78587020075</v>
      </c>
      <c r="W592" s="228"/>
      <c r="X592" s="226"/>
      <c r="Y592" s="226"/>
      <c r="Z592" s="224"/>
      <c r="AA592" s="226"/>
      <c r="AB592" s="226"/>
      <c r="AC592" s="226"/>
      <c r="AD592" s="226"/>
      <c r="AE592" s="227">
        <v>72</v>
      </c>
      <c r="AF592" s="227">
        <v>34.297646272385002</v>
      </c>
      <c r="AG592" s="226" t="s">
        <v>155</v>
      </c>
      <c r="AH592" s="229">
        <v>0.64600000000000002</v>
      </c>
      <c r="AI592" s="225">
        <f t="shared" si="409"/>
        <v>22.156279491960714</v>
      </c>
      <c r="AJ592" s="226">
        <f t="shared" si="410"/>
        <v>-0.10294899623363898</v>
      </c>
      <c r="AK592" s="226"/>
      <c r="AL592" s="226">
        <f t="shared" si="411"/>
        <v>198.17387664707209</v>
      </c>
      <c r="AM592" s="228">
        <f t="shared" si="412"/>
        <v>6796.8975216685376</v>
      </c>
      <c r="AN592" s="226"/>
      <c r="AO592" s="227">
        <v>1.7952167414050999</v>
      </c>
      <c r="AP592" s="225"/>
      <c r="AQ592" s="226">
        <f t="shared" si="413"/>
        <v>61.571708778975776</v>
      </c>
      <c r="AR592" s="226">
        <f t="shared" si="414"/>
        <v>6.5511660341972323E-5</v>
      </c>
      <c r="AS592" s="228">
        <f>AR592*'DADOS BASE'!W$38</f>
        <v>19651.845092563533</v>
      </c>
      <c r="AT592" s="225"/>
      <c r="AU592" s="227">
        <v>212.65589412951999</v>
      </c>
      <c r="AV592" s="227">
        <v>259</v>
      </c>
      <c r="AW592" s="226">
        <f t="shared" si="415"/>
        <v>53.163973532379998</v>
      </c>
      <c r="AX592" s="226">
        <f>IF($AW$11&gt;0,(AW592/$AW$11)*'DADOS BASE'!W$40,0)</f>
        <v>9552.310006039741</v>
      </c>
      <c r="AY592" s="226">
        <f t="shared" si="416"/>
        <v>95.440855324946199</v>
      </c>
      <c r="AZ592" s="226">
        <f t="shared" si="417"/>
        <v>4.9915868429649315E-3</v>
      </c>
      <c r="BA592" s="226">
        <f>AZ592*'DADOS BASE'!W$41</f>
        <v>36877.113676233173</v>
      </c>
      <c r="BB592" s="225"/>
      <c r="BC592" s="227">
        <v>0</v>
      </c>
      <c r="BD592" s="226">
        <f>IF($BC$11&gt;0,(BC592/$BC$11)*'DADOS BASE'!W$39,0)</f>
        <v>0</v>
      </c>
      <c r="BE592" s="187"/>
    </row>
    <row r="593" spans="2:57" x14ac:dyDescent="0.3">
      <c r="B593" s="184" t="s">
        <v>686</v>
      </c>
      <c r="C593" s="184" t="s">
        <v>690</v>
      </c>
      <c r="D593" s="184" t="s">
        <v>92</v>
      </c>
      <c r="E593" s="184">
        <v>2013</v>
      </c>
      <c r="F593" s="185"/>
      <c r="H593" s="186">
        <f ca="1">IF(AND(E593&gt;=2018,SUMIF('DADOS BASE'!$C$101:$D$104,D593,'DADOS BASE'!$H$101:$H$104)&gt;J593),
SUMIF('DADOS BASE'!$C$101:$D$104,D593,'DADOS BASE'!$H$101:$H$104),
J593)</f>
        <v>3580377.748353309</v>
      </c>
      <c r="J593" s="186">
        <f t="shared" si="406"/>
        <v>3580377.748353309</v>
      </c>
      <c r="K593" s="186"/>
      <c r="L593" s="188">
        <v>3547.9642462375</v>
      </c>
      <c r="M593" s="186">
        <f t="shared" si="407"/>
        <v>2.7679572787870127E-3</v>
      </c>
      <c r="N593" s="186">
        <f>L593*'DADOS BASE'!$I$29</f>
        <v>3493808.5838787481</v>
      </c>
      <c r="O593" s="187"/>
      <c r="P593" s="188">
        <v>0</v>
      </c>
      <c r="Q593" s="186">
        <f>P593*'DADOS BASE'!$I$33</f>
        <v>0</v>
      </c>
      <c r="R593" s="186"/>
      <c r="S593" s="188">
        <v>109.88878361841</v>
      </c>
      <c r="T593" s="186">
        <f>S593*'DADOS BASE'!$I$37</f>
        <v>86569.164474561068</v>
      </c>
      <c r="U593" s="186"/>
      <c r="V593" s="186">
        <f t="shared" si="408"/>
        <v>86569.164474561068</v>
      </c>
      <c r="W593" s="187"/>
      <c r="X593" s="186"/>
      <c r="Y593" s="186"/>
      <c r="Z593" s="185"/>
      <c r="AA593" s="186"/>
      <c r="AB593" s="186"/>
      <c r="AC593" s="186"/>
      <c r="AD593" s="186"/>
      <c r="AE593" s="188">
        <v>1436</v>
      </c>
      <c r="AF593" s="188">
        <v>1243.9906596246001</v>
      </c>
      <c r="AG593" s="186" t="s">
        <v>155</v>
      </c>
      <c r="AH593" s="189">
        <v>0.71799999999999997</v>
      </c>
      <c r="AI593" s="183">
        <f t="shared" si="409"/>
        <v>893.18529361046285</v>
      </c>
      <c r="AJ593" s="186">
        <f t="shared" si="410"/>
        <v>-5.8358236918934457E-3</v>
      </c>
      <c r="AK593" s="186"/>
      <c r="AL593" s="186">
        <f t="shared" si="411"/>
        <v>180.7249339109957</v>
      </c>
      <c r="AM593" s="187">
        <f t="shared" si="412"/>
        <v>224820.1297465518</v>
      </c>
      <c r="AN593" s="186"/>
      <c r="AO593" s="188">
        <v>1.946190102121</v>
      </c>
      <c r="AQ593" s="186">
        <f t="shared" si="413"/>
        <v>2421.0423088923703</v>
      </c>
      <c r="AR593" s="186">
        <f t="shared" si="414"/>
        <v>2.5759639379678715E-3</v>
      </c>
      <c r="AS593" s="187">
        <f>AR593*'DADOS BASE'!W$38</f>
        <v>772724.18388916203</v>
      </c>
      <c r="AU593" s="188">
        <v>109.88878361841</v>
      </c>
      <c r="AV593" s="188">
        <v>82.5</v>
      </c>
      <c r="AW593" s="186">
        <f t="shared" si="415"/>
        <v>27.472195904602501</v>
      </c>
      <c r="AX593" s="186">
        <f>IF($AW$11&gt;0,(AW593/$AW$11)*'DADOS BASE'!W$40,0)</f>
        <v>4936.1045533511033</v>
      </c>
      <c r="AY593" s="186">
        <f t="shared" si="416"/>
        <v>53.466115753066461</v>
      </c>
      <c r="AZ593" s="186">
        <f t="shared" si="417"/>
        <v>2.7962947212574873E-3</v>
      </c>
      <c r="BA593" s="186">
        <f>AZ593*'DADOS BASE'!W$41</f>
        <v>20658.616498558549</v>
      </c>
      <c r="BC593" s="188">
        <v>0</v>
      </c>
      <c r="BD593" s="186">
        <f>IF($BC$11&gt;0,(BC593/$BC$11)*'DADOS BASE'!W$39,0)</f>
        <v>0</v>
      </c>
      <c r="BE593" s="187"/>
    </row>
    <row r="594" spans="2:57" x14ac:dyDescent="0.3">
      <c r="B594" s="223" t="s">
        <v>686</v>
      </c>
      <c r="C594" s="223" t="s">
        <v>691</v>
      </c>
      <c r="D594" s="223" t="s">
        <v>92</v>
      </c>
      <c r="E594" s="223">
        <v>2009</v>
      </c>
      <c r="F594" s="224"/>
      <c r="G594" s="225"/>
      <c r="H594" s="226">
        <f ca="1">IF(AND(E594&gt;=2018,SUMIF('DADOS BASE'!$C$101:$D$104,D594,'DADOS BASE'!$H$101:$H$104)&gt;J594),
SUMIF('DADOS BASE'!$C$101:$D$104,D594,'DADOS BASE'!$H$101:$H$104),
J594)</f>
        <v>5733715.7673132634</v>
      </c>
      <c r="I594" s="225"/>
      <c r="J594" s="226">
        <f t="shared" si="406"/>
        <v>5733715.7673132634</v>
      </c>
      <c r="K594" s="226"/>
      <c r="L594" s="227">
        <v>5604.5251369346997</v>
      </c>
      <c r="M594" s="226">
        <f t="shared" si="407"/>
        <v>4.3723907768727661E-3</v>
      </c>
      <c r="N594" s="226">
        <f>L594*'DADOS BASE'!$I$29</f>
        <v>5518978.3980353884</v>
      </c>
      <c r="O594" s="228"/>
      <c r="P594" s="227">
        <v>0</v>
      </c>
      <c r="Q594" s="226">
        <f>P594*'DADOS BASE'!$I$33</f>
        <v>0</v>
      </c>
      <c r="R594" s="226"/>
      <c r="S594" s="227">
        <v>272.58237330333998</v>
      </c>
      <c r="T594" s="226">
        <f>S594*'DADOS BASE'!$I$37</f>
        <v>214737.36927787529</v>
      </c>
      <c r="U594" s="226"/>
      <c r="V594" s="226">
        <f t="shared" si="408"/>
        <v>214737.36927787529</v>
      </c>
      <c r="W594" s="228"/>
      <c r="X594" s="226"/>
      <c r="Y594" s="226"/>
      <c r="Z594" s="224"/>
      <c r="AA594" s="226"/>
      <c r="AB594" s="226"/>
      <c r="AC594" s="226"/>
      <c r="AD594" s="226"/>
      <c r="AE594" s="227">
        <v>1694</v>
      </c>
      <c r="AF594" s="227">
        <v>1572.5155535056001</v>
      </c>
      <c r="AG594" s="226" t="s">
        <v>155</v>
      </c>
      <c r="AH594" s="229">
        <v>0.68500000000000005</v>
      </c>
      <c r="AI594" s="225">
        <f t="shared" si="409"/>
        <v>1077.1731541513361</v>
      </c>
      <c r="AJ594" s="226">
        <f t="shared" si="410"/>
        <v>-5.0346027773526737E-2</v>
      </c>
      <c r="AK594" s="226"/>
      <c r="AL594" s="226">
        <f t="shared" si="411"/>
        <v>188.72236599836404</v>
      </c>
      <c r="AM594" s="228">
        <f t="shared" si="412"/>
        <v>296768.85582680389</v>
      </c>
      <c r="AN594" s="226"/>
      <c r="AO594" s="227">
        <v>2.0217146080089998</v>
      </c>
      <c r="AP594" s="225"/>
      <c r="AQ594" s="226">
        <f t="shared" si="413"/>
        <v>3179.1776658436297</v>
      </c>
      <c r="AR594" s="226">
        <f t="shared" si="414"/>
        <v>3.3826121045165644E-3</v>
      </c>
      <c r="AS594" s="228">
        <f>AR594*'DADOS BASE'!W$38</f>
        <v>1014698.2802632557</v>
      </c>
      <c r="AT594" s="225"/>
      <c r="AU594" s="227">
        <v>272.58237330333998</v>
      </c>
      <c r="AV594" s="227">
        <v>244</v>
      </c>
      <c r="AW594" s="226">
        <f t="shared" si="415"/>
        <v>68.145593325834994</v>
      </c>
      <c r="AX594" s="226">
        <f>IF($AW$11&gt;0,(AW594/$AW$11)*'DADOS BASE'!W$40,0)</f>
        <v>12244.153131206851</v>
      </c>
      <c r="AY594" s="226">
        <f t="shared" si="416"/>
        <v>137.77094149828122</v>
      </c>
      <c r="AZ594" s="226">
        <f t="shared" si="417"/>
        <v>7.2054637040324474E-3</v>
      </c>
      <c r="BA594" s="226">
        <f>AZ594*'DADOS BASE'!W$41</f>
        <v>53232.91219065414</v>
      </c>
      <c r="BB594" s="225"/>
      <c r="BC594" s="227">
        <v>165</v>
      </c>
      <c r="BD594" s="226">
        <f>IF($BC$11&gt;0,(BC594/$BC$11)*'DADOS BASE'!W$39,0)</f>
        <v>891528.66206480807</v>
      </c>
      <c r="BE594" s="187"/>
    </row>
    <row r="595" spans="2:57" x14ac:dyDescent="0.3">
      <c r="B595" s="184" t="s">
        <v>686</v>
      </c>
      <c r="C595" s="184" t="s">
        <v>692</v>
      </c>
      <c r="D595" s="184" t="s">
        <v>94</v>
      </c>
      <c r="E595" s="184">
        <v>2016</v>
      </c>
      <c r="F595" s="185"/>
      <c r="H595" s="186">
        <f ca="1">IF(AND(E595&gt;=2018,SUMIF('DADOS BASE'!$C$101:$D$104,D595,'DADOS BASE'!$H$101:$H$104)&gt;J595),
SUMIF('DADOS BASE'!$C$101:$D$104,D595,'DADOS BASE'!$H$101:$H$104),
J595)</f>
        <v>1494865.3625691412</v>
      </c>
      <c r="J595" s="186">
        <f t="shared" si="406"/>
        <v>1494865.3625691412</v>
      </c>
      <c r="K595" s="186"/>
      <c r="L595" s="188">
        <v>1417.2653813594</v>
      </c>
      <c r="M595" s="186">
        <f t="shared" si="407"/>
        <v>1.1056847690803933E-3</v>
      </c>
      <c r="N595" s="186">
        <f>L595*'DADOS BASE'!$I$29</f>
        <v>1395632.4278855759</v>
      </c>
      <c r="O595" s="187"/>
      <c r="P595" s="188">
        <v>0</v>
      </c>
      <c r="Q595" s="186">
        <f>P595*'DADOS BASE'!$I$33</f>
        <v>0</v>
      </c>
      <c r="R595" s="186"/>
      <c r="S595" s="188">
        <v>125.96386430952001</v>
      </c>
      <c r="T595" s="186">
        <f>S595*'DADOS BASE'!$I$37</f>
        <v>99232.934683565385</v>
      </c>
      <c r="U595" s="186"/>
      <c r="V595" s="186">
        <f t="shared" si="408"/>
        <v>99232.934683565385</v>
      </c>
      <c r="W595" s="187"/>
      <c r="X595" s="186"/>
      <c r="Y595" s="186"/>
      <c r="Z595" s="185"/>
      <c r="AA595" s="186"/>
      <c r="AB595" s="186"/>
      <c r="AC595" s="186"/>
      <c r="AD595" s="186"/>
      <c r="AE595" s="188">
        <v>914</v>
      </c>
      <c r="AF595" s="188">
        <v>673.13576791307003</v>
      </c>
      <c r="AG595" s="186" t="s">
        <v>155</v>
      </c>
      <c r="AH595" s="189">
        <v>0.65700000000000003</v>
      </c>
      <c r="AI595" s="183">
        <f t="shared" si="409"/>
        <v>442.25019951888703</v>
      </c>
      <c r="AJ595" s="186">
        <f t="shared" si="410"/>
        <v>-8.8112261539761177E-2</v>
      </c>
      <c r="AK595" s="186"/>
      <c r="AL595" s="186">
        <f t="shared" si="411"/>
        <v>195.50806595128265</v>
      </c>
      <c r="AM595" s="187">
        <f t="shared" si="412"/>
        <v>131603.47210731579</v>
      </c>
      <c r="AN595" s="186"/>
      <c r="AO595" s="188">
        <v>1.8466135458166999</v>
      </c>
      <c r="AQ595" s="186">
        <f t="shared" si="413"/>
        <v>1243.0216272020014</v>
      </c>
      <c r="AR595" s="186">
        <f t="shared" si="414"/>
        <v>1.3225621353355895E-3</v>
      </c>
      <c r="AS595" s="187">
        <f>AR595*'DADOS BASE'!W$38</f>
        <v>396735.26931286079</v>
      </c>
      <c r="AU595" s="188">
        <v>125.96386430952001</v>
      </c>
      <c r="AV595" s="188">
        <v>130.75</v>
      </c>
      <c r="AW595" s="186">
        <f t="shared" si="415"/>
        <v>31.490966077380001</v>
      </c>
      <c r="AX595" s="186">
        <f>IF($AW$11&gt;0,(AW595/$AW$11)*'DADOS BASE'!W$40,0)</f>
        <v>5658.182607016819</v>
      </c>
      <c r="AY595" s="186">
        <f t="shared" si="416"/>
        <v>58.151644529344097</v>
      </c>
      <c r="AZ595" s="186">
        <f t="shared" si="417"/>
        <v>3.0413493544370774E-3</v>
      </c>
      <c r="BA595" s="186">
        <f>AZ595*'DADOS BASE'!W$41</f>
        <v>22469.044294157826</v>
      </c>
      <c r="BC595" s="188">
        <v>0</v>
      </c>
      <c r="BD595" s="186">
        <f>IF($BC$11&gt;0,(BC595/$BC$11)*'DADOS BASE'!W$39,0)</f>
        <v>0</v>
      </c>
      <c r="BE595" s="187"/>
    </row>
    <row r="596" spans="2:57" x14ac:dyDescent="0.3">
      <c r="B596" s="223" t="s">
        <v>686</v>
      </c>
      <c r="C596" s="223" t="s">
        <v>693</v>
      </c>
      <c r="D596" s="223" t="s">
        <v>94</v>
      </c>
      <c r="E596" s="223">
        <v>2016</v>
      </c>
      <c r="F596" s="224"/>
      <c r="G596" s="225"/>
      <c r="H596" s="226">
        <f ca="1">IF(AND(E596&gt;=2018,SUMIF('DADOS BASE'!$C$101:$D$104,D596,'DADOS BASE'!$H$101:$H$104)&gt;J596),
SUMIF('DADOS BASE'!$C$101:$D$104,D596,'DADOS BASE'!$H$101:$H$104),
J596)</f>
        <v>1186589.3115161962</v>
      </c>
      <c r="I596" s="225"/>
      <c r="J596" s="226">
        <f t="shared" si="406"/>
        <v>1186589.3115161962</v>
      </c>
      <c r="K596" s="226"/>
      <c r="L596" s="227">
        <v>1154.4062768870001</v>
      </c>
      <c r="M596" s="226">
        <f t="shared" si="407"/>
        <v>9.0061427765946301E-4</v>
      </c>
      <c r="N596" s="226">
        <f>L596*'DADOS BASE'!$I$29</f>
        <v>1136785.5704150524</v>
      </c>
      <c r="O596" s="228"/>
      <c r="P596" s="227">
        <v>0</v>
      </c>
      <c r="Q596" s="226">
        <f>P596*'DADOS BASE'!$I$33</f>
        <v>0</v>
      </c>
      <c r="R596" s="226"/>
      <c r="S596" s="227">
        <v>63.219652892215997</v>
      </c>
      <c r="T596" s="226">
        <f>S596*'DADOS BASE'!$I$37</f>
        <v>49803.741101143823</v>
      </c>
      <c r="U596" s="226"/>
      <c r="V596" s="226">
        <f t="shared" si="408"/>
        <v>49803.741101143823</v>
      </c>
      <c r="W596" s="228"/>
      <c r="X596" s="226"/>
      <c r="Y596" s="226"/>
      <c r="Z596" s="224"/>
      <c r="AA596" s="226"/>
      <c r="AB596" s="226"/>
      <c r="AC596" s="226"/>
      <c r="AD596" s="226"/>
      <c r="AE596" s="227">
        <v>507</v>
      </c>
      <c r="AF596" s="227">
        <v>452.71659902835</v>
      </c>
      <c r="AG596" s="226" t="s">
        <v>155</v>
      </c>
      <c r="AH596" s="229">
        <v>0.68899999999999995</v>
      </c>
      <c r="AI596" s="225">
        <f t="shared" si="409"/>
        <v>311.92173673053315</v>
      </c>
      <c r="AJ596" s="226">
        <f t="shared" si="410"/>
        <v>-4.4950851521207681E-2</v>
      </c>
      <c r="AK596" s="226"/>
      <c r="AL596" s="226">
        <f t="shared" si="411"/>
        <v>187.75298029080426</v>
      </c>
      <c r="AM596" s="228">
        <f t="shared" si="412"/>
        <v>84998.890694689733</v>
      </c>
      <c r="AN596" s="226"/>
      <c r="AO596" s="227">
        <v>1.9448979591836999</v>
      </c>
      <c r="AP596" s="225"/>
      <c r="AQ596" s="226">
        <f t="shared" si="413"/>
        <v>880.48758953882327</v>
      </c>
      <c r="AR596" s="226">
        <f t="shared" si="414"/>
        <v>9.3682967461974117E-4</v>
      </c>
      <c r="AS596" s="228">
        <f>AR596*'DADOS BASE'!W$38</f>
        <v>281025.26401622227</v>
      </c>
      <c r="AT596" s="225"/>
      <c r="AU596" s="227">
        <v>63.219652892215997</v>
      </c>
      <c r="AV596" s="227">
        <v>25</v>
      </c>
      <c r="AW596" s="226">
        <f t="shared" si="415"/>
        <v>15.804913223053999</v>
      </c>
      <c r="AX596" s="226">
        <f>IF($AW$11&gt;0,(AW596/$AW$11)*'DADOS BASE'!W$40,0)</f>
        <v>2839.7695035570814</v>
      </c>
      <c r="AY596" s="226">
        <f t="shared" si="416"/>
        <v>30.738943472593196</v>
      </c>
      <c r="AZ596" s="226">
        <f t="shared" si="417"/>
        <v>1.6076564410706202E-3</v>
      </c>
      <c r="BA596" s="226">
        <f>AZ596*'DADOS BASE'!W$41</f>
        <v>11877.130699077417</v>
      </c>
      <c r="BB596" s="225"/>
      <c r="BC596" s="227">
        <v>0</v>
      </c>
      <c r="BD596" s="226">
        <f>IF($BC$11&gt;0,(BC596/$BC$11)*'DADOS BASE'!W$39,0)</f>
        <v>0</v>
      </c>
      <c r="BE596" s="187"/>
    </row>
    <row r="597" spans="2:57" x14ac:dyDescent="0.3">
      <c r="B597" s="184" t="s">
        <v>686</v>
      </c>
      <c r="C597" s="184" t="s">
        <v>694</v>
      </c>
      <c r="D597" s="184" t="s">
        <v>94</v>
      </c>
      <c r="E597" s="184">
        <v>2010</v>
      </c>
      <c r="F597" s="185"/>
      <c r="H597" s="186">
        <f ca="1">IF(AND(E597&gt;=2018,SUMIF('DADOS BASE'!$C$101:$D$104,D597,'DADOS BASE'!$H$101:$H$104)&gt;J597),
SUMIF('DADOS BASE'!$C$101:$D$104,D597,'DADOS BASE'!$H$101:$H$104),
J597)</f>
        <v>2625212.7247949517</v>
      </c>
      <c r="J597" s="186">
        <f t="shared" si="406"/>
        <v>2625212.7247949517</v>
      </c>
      <c r="K597" s="186"/>
      <c r="L597" s="188">
        <v>2543.8100522694999</v>
      </c>
      <c r="M597" s="186">
        <f t="shared" si="407"/>
        <v>1.9845627129692332E-3</v>
      </c>
      <c r="N597" s="186">
        <f>L597*'DADOS BASE'!$I$29</f>
        <v>2504981.6682344587</v>
      </c>
      <c r="O597" s="187"/>
      <c r="P597" s="188">
        <v>0</v>
      </c>
      <c r="Q597" s="186">
        <f>P597*'DADOS BASE'!$I$33</f>
        <v>0</v>
      </c>
      <c r="R597" s="186"/>
      <c r="S597" s="188">
        <v>152.61836750742</v>
      </c>
      <c r="T597" s="186">
        <f>S597*'DADOS BASE'!$I$37</f>
        <v>120231.05656049316</v>
      </c>
      <c r="U597" s="186"/>
      <c r="V597" s="186">
        <f t="shared" si="408"/>
        <v>120231.05656049316</v>
      </c>
      <c r="W597" s="187"/>
      <c r="X597" s="186"/>
      <c r="Y597" s="186"/>
      <c r="Z597" s="185"/>
      <c r="AA597" s="186"/>
      <c r="AB597" s="186"/>
      <c r="AC597" s="186"/>
      <c r="AD597" s="186"/>
      <c r="AE597" s="188">
        <v>1123</v>
      </c>
      <c r="AF597" s="188">
        <v>1106.7471731172</v>
      </c>
      <c r="AG597" s="186" t="s">
        <v>155</v>
      </c>
      <c r="AH597" s="189">
        <v>0.71399999999999997</v>
      </c>
      <c r="AI597" s="183">
        <f t="shared" si="409"/>
        <v>790.21748160568075</v>
      </c>
      <c r="AJ597" s="186">
        <f t="shared" si="410"/>
        <v>-1.1230999944212651E-2</v>
      </c>
      <c r="AK597" s="186"/>
      <c r="AL597" s="186">
        <f t="shared" si="411"/>
        <v>181.69431961855551</v>
      </c>
      <c r="AM597" s="187">
        <f t="shared" si="412"/>
        <v>201089.67460928933</v>
      </c>
      <c r="AN597" s="186"/>
      <c r="AO597" s="188">
        <v>1.9115805946791999</v>
      </c>
      <c r="AQ597" s="186">
        <f t="shared" si="413"/>
        <v>2115.6364193469008</v>
      </c>
      <c r="AR597" s="186">
        <f t="shared" si="414"/>
        <v>2.2510152350796305E-3</v>
      </c>
      <c r="AS597" s="187">
        <f>AR597*'DADOS BASE'!W$38</f>
        <v>675247.77222664386</v>
      </c>
      <c r="AU597" s="188">
        <v>152.36458196972001</v>
      </c>
      <c r="AV597" s="188">
        <v>129.5</v>
      </c>
      <c r="AW597" s="186">
        <f t="shared" si="415"/>
        <v>38.091145492430002</v>
      </c>
      <c r="AX597" s="186">
        <f>IF($AW$11&gt;0,(AW597/$AW$11)*'DADOS BASE'!W$40,0)</f>
        <v>6844.0789138389637</v>
      </c>
      <c r="AY597" s="186">
        <f t="shared" si="416"/>
        <v>72.814294552431264</v>
      </c>
      <c r="AZ597" s="186">
        <f t="shared" si="417"/>
        <v>3.8082105763849812E-3</v>
      </c>
      <c r="BA597" s="186">
        <f>AZ597*'DADOS BASE'!W$41</f>
        <v>28134.502863815855</v>
      </c>
      <c r="BC597" s="188">
        <v>0</v>
      </c>
      <c r="BD597" s="186">
        <f>IF($BC$11&gt;0,(BC597/$BC$11)*'DADOS BASE'!W$39,0)</f>
        <v>0</v>
      </c>
      <c r="BE597" s="187"/>
    </row>
    <row r="598" spans="2:57" x14ac:dyDescent="0.3">
      <c r="B598" s="223" t="s">
        <v>686</v>
      </c>
      <c r="C598" s="223" t="s">
        <v>695</v>
      </c>
      <c r="D598" s="223" t="s">
        <v>94</v>
      </c>
      <c r="E598" s="223">
        <v>2013</v>
      </c>
      <c r="F598" s="224"/>
      <c r="G598" s="225"/>
      <c r="H598" s="226">
        <f ca="1">IF(AND(E598&gt;=2018,SUMIF('DADOS BASE'!$C$101:$D$104,D598,'DADOS BASE'!$H$101:$H$104)&gt;J598),
SUMIF('DADOS BASE'!$C$101:$D$104,D598,'DADOS BASE'!$H$101:$H$104),
J598)</f>
        <v>4133707.577305872</v>
      </c>
      <c r="I598" s="225"/>
      <c r="J598" s="226">
        <f t="shared" si="406"/>
        <v>4133707.577305872</v>
      </c>
      <c r="K598" s="226"/>
      <c r="L598" s="227">
        <v>4089.1683669345998</v>
      </c>
      <c r="M598" s="226">
        <f t="shared" si="407"/>
        <v>3.1901796523020991E-3</v>
      </c>
      <c r="N598" s="226">
        <f>L598*'DADOS BASE'!$I$29</f>
        <v>4026751.8356398889</v>
      </c>
      <c r="O598" s="228"/>
      <c r="P598" s="227">
        <v>0</v>
      </c>
      <c r="Q598" s="226">
        <f>P598*'DADOS BASE'!$I$33</f>
        <v>0</v>
      </c>
      <c r="R598" s="226"/>
      <c r="S598" s="227">
        <v>135.76700692466</v>
      </c>
      <c r="T598" s="226">
        <f>S598*'DADOS BASE'!$I$37</f>
        <v>106955.74166598298</v>
      </c>
      <c r="U598" s="226"/>
      <c r="V598" s="226">
        <f t="shared" si="408"/>
        <v>106955.74166598298</v>
      </c>
      <c r="W598" s="228"/>
      <c r="X598" s="226"/>
      <c r="Y598" s="226"/>
      <c r="Z598" s="224"/>
      <c r="AA598" s="226"/>
      <c r="AB598" s="226"/>
      <c r="AC598" s="226"/>
      <c r="AD598" s="226"/>
      <c r="AE598" s="227">
        <v>1978</v>
      </c>
      <c r="AF598" s="227">
        <v>1798.9979525586</v>
      </c>
      <c r="AG598" s="226" t="s">
        <v>155</v>
      </c>
      <c r="AH598" s="229">
        <v>0.73599999999999999</v>
      </c>
      <c r="AI598" s="225">
        <f t="shared" si="409"/>
        <v>1324.0624930831295</v>
      </c>
      <c r="AJ598" s="226">
        <f t="shared" si="410"/>
        <v>1.8442469443542976E-2</v>
      </c>
      <c r="AK598" s="226"/>
      <c r="AL598" s="226">
        <f t="shared" si="411"/>
        <v>176.36269822697659</v>
      </c>
      <c r="AM598" s="228">
        <f t="shared" si="412"/>
        <v>317276.13301804115</v>
      </c>
      <c r="AN598" s="226"/>
      <c r="AO598" s="227">
        <v>1.8975472662238</v>
      </c>
      <c r="AP598" s="225"/>
      <c r="AQ598" s="226">
        <f t="shared" si="413"/>
        <v>3413.6836468197848</v>
      </c>
      <c r="AR598" s="226">
        <f t="shared" si="414"/>
        <v>3.6321240391133298E-3</v>
      </c>
      <c r="AS598" s="228">
        <f>AR598*'DADOS BASE'!W$38</f>
        <v>1089545.5648816852</v>
      </c>
      <c r="AT598" s="225"/>
      <c r="AU598" s="227">
        <v>113.43959913777</v>
      </c>
      <c r="AV598" s="227">
        <v>200.5</v>
      </c>
      <c r="AW598" s="226">
        <f t="shared" si="415"/>
        <v>28.359899784442501</v>
      </c>
      <c r="AX598" s="226">
        <f>IF($AW$11&gt;0,(AW598/$AW$11)*'DADOS BASE'!W$40,0)</f>
        <v>5095.6039679054229</v>
      </c>
      <c r="AY598" s="226">
        <f t="shared" si="416"/>
        <v>53.814250306349798</v>
      </c>
      <c r="AZ598" s="226">
        <f t="shared" si="417"/>
        <v>2.8145022682229256E-3</v>
      </c>
      <c r="BA598" s="226">
        <f>AZ598*'DADOS BASE'!W$41</f>
        <v>20793.131193050169</v>
      </c>
      <c r="BB598" s="225"/>
      <c r="BC598" s="227">
        <v>0</v>
      </c>
      <c r="BD598" s="226">
        <f>IF($BC$11&gt;0,(BC598/$BC$11)*'DADOS BASE'!W$39,0)</f>
        <v>0</v>
      </c>
      <c r="BE598" s="187"/>
    </row>
    <row r="599" spans="2:57" x14ac:dyDescent="0.3">
      <c r="B599" s="184" t="s">
        <v>686</v>
      </c>
      <c r="C599" s="184" t="s">
        <v>696</v>
      </c>
      <c r="D599" s="184" t="s">
        <v>94</v>
      </c>
      <c r="E599" s="184">
        <v>2009</v>
      </c>
      <c r="F599" s="185"/>
      <c r="H599" s="186">
        <f ca="1">IF(AND(E599&gt;=2018,SUMIF('DADOS BASE'!$C$101:$D$104,D599,'DADOS BASE'!$H$101:$H$104)&gt;J599),
SUMIF('DADOS BASE'!$C$101:$D$104,D599,'DADOS BASE'!$H$101:$H$104),
J599)</f>
        <v>3402955.9635554547</v>
      </c>
      <c r="J599" s="186">
        <f t="shared" si="406"/>
        <v>3402955.9635554547</v>
      </c>
      <c r="K599" s="186"/>
      <c r="L599" s="188">
        <v>259.11021401895999</v>
      </c>
      <c r="M599" s="186">
        <f t="shared" si="407"/>
        <v>2.0214578082696703E-4</v>
      </c>
      <c r="N599" s="186">
        <f>L599*'DADOS BASE'!$I$29</f>
        <v>255155.18959079799</v>
      </c>
      <c r="O599" s="187"/>
      <c r="P599" s="188">
        <v>466.86046511628001</v>
      </c>
      <c r="Q599" s="186">
        <f>P599*'DADOS BASE'!$I$33</f>
        <v>114933.59200467102</v>
      </c>
      <c r="R599" s="186"/>
      <c r="S599" s="188">
        <v>3849.8475470409999</v>
      </c>
      <c r="T599" s="186">
        <f>S599*'DADOS BASE'!$I$37</f>
        <v>3032867.1819599858</v>
      </c>
      <c r="U599" s="186"/>
      <c r="V599" s="186">
        <f t="shared" si="408"/>
        <v>3147800.773964657</v>
      </c>
      <c r="W599" s="187"/>
      <c r="X599" s="186"/>
      <c r="Y599" s="186"/>
      <c r="Z599" s="185"/>
      <c r="AA599" s="186"/>
      <c r="AB599" s="186"/>
      <c r="AC599" s="186"/>
      <c r="AD599" s="186"/>
      <c r="AE599" s="188">
        <v>597</v>
      </c>
      <c r="AF599" s="188">
        <v>222.10555469061001</v>
      </c>
      <c r="AG599" s="186" t="s">
        <v>155</v>
      </c>
      <c r="AH599" s="189">
        <v>0.73599999999999999</v>
      </c>
      <c r="AI599" s="183">
        <f t="shared" si="409"/>
        <v>163.46968825228896</v>
      </c>
      <c r="AJ599" s="186">
        <f t="shared" si="410"/>
        <v>1.8442469443542976E-2</v>
      </c>
      <c r="AK599" s="186"/>
      <c r="AL599" s="186">
        <f t="shared" si="411"/>
        <v>176.36269822697659</v>
      </c>
      <c r="AM599" s="187">
        <f t="shared" si="412"/>
        <v>39171.134916435294</v>
      </c>
      <c r="AN599" s="186"/>
      <c r="AO599" s="188">
        <v>1.8401840490798</v>
      </c>
      <c r="AQ599" s="186">
        <f t="shared" si="413"/>
        <v>408.71509895368172</v>
      </c>
      <c r="AR599" s="186">
        <f t="shared" si="414"/>
        <v>4.3486863155618613E-4</v>
      </c>
      <c r="AS599" s="187">
        <f>AR599*'DADOS BASE'!W$38</f>
        <v>130449.61673001565</v>
      </c>
      <c r="AU599" s="188">
        <v>3715.1770063946001</v>
      </c>
      <c r="AV599" s="188">
        <v>2438.5</v>
      </c>
      <c r="AW599" s="186">
        <f t="shared" si="415"/>
        <v>928.79425159865002</v>
      </c>
      <c r="AX599" s="186">
        <f>IF($AW$11&gt;0,(AW599/$AW$11)*'DADOS BASE'!W$40,0)</f>
        <v>166882.38356928545</v>
      </c>
      <c r="AY599" s="186">
        <f t="shared" si="416"/>
        <v>1709.1523666688463</v>
      </c>
      <c r="AZ599" s="186">
        <f t="shared" si="417"/>
        <v>8.9389207976394422E-2</v>
      </c>
      <c r="BA599" s="186">
        <f>AZ599*'DADOS BASE'!W$41</f>
        <v>660394.39714844711</v>
      </c>
      <c r="BC599" s="188">
        <v>0</v>
      </c>
      <c r="BD599" s="186">
        <f>IF($BC$11&gt;0,(BC599/$BC$11)*'DADOS BASE'!W$39,0)</f>
        <v>0</v>
      </c>
      <c r="BE599" s="187"/>
    </row>
    <row r="600" spans="2:57" x14ac:dyDescent="0.3">
      <c r="B600" s="223" t="s">
        <v>686</v>
      </c>
      <c r="C600" s="223" t="s">
        <v>697</v>
      </c>
      <c r="D600" s="223" t="s">
        <v>94</v>
      </c>
      <c r="E600" s="223">
        <v>2009</v>
      </c>
      <c r="F600" s="224"/>
      <c r="G600" s="225"/>
      <c r="H600" s="226">
        <f ca="1">IF(AND(E600&gt;=2018,SUMIF('DADOS BASE'!$C$101:$D$104,D600,'DADOS BASE'!$H$101:$H$104)&gt;J600),
SUMIF('DADOS BASE'!$C$101:$D$104,D600,'DADOS BASE'!$H$101:$H$104),
J600)</f>
        <v>2873173.4375500204</v>
      </c>
      <c r="I600" s="225"/>
      <c r="J600" s="226">
        <f t="shared" si="406"/>
        <v>2873173.4375500204</v>
      </c>
      <c r="K600" s="226"/>
      <c r="L600" s="227">
        <v>2814.4766747907001</v>
      </c>
      <c r="M600" s="226">
        <f t="shared" si="407"/>
        <v>2.1957242681418221E-3</v>
      </c>
      <c r="N600" s="226">
        <f>L600*'DADOS BASE'!$I$29</f>
        <v>2771516.8708191174</v>
      </c>
      <c r="O600" s="228"/>
      <c r="P600" s="227">
        <v>0</v>
      </c>
      <c r="Q600" s="226">
        <f>P600*'DADOS BASE'!$I$33</f>
        <v>0</v>
      </c>
      <c r="R600" s="226"/>
      <c r="S600" s="227">
        <v>129.04036365241001</v>
      </c>
      <c r="T600" s="226">
        <f>S600*'DADOS BASE'!$I$37</f>
        <v>101656.56673090297</v>
      </c>
      <c r="U600" s="226"/>
      <c r="V600" s="226">
        <f t="shared" si="408"/>
        <v>101656.56673090297</v>
      </c>
      <c r="W600" s="228"/>
      <c r="X600" s="226"/>
      <c r="Y600" s="226"/>
      <c r="Z600" s="224"/>
      <c r="AA600" s="226"/>
      <c r="AB600" s="226"/>
      <c r="AC600" s="226"/>
      <c r="AD600" s="226"/>
      <c r="AE600" s="227">
        <v>1373</v>
      </c>
      <c r="AF600" s="227">
        <v>1296.4019411357001</v>
      </c>
      <c r="AG600" s="226" t="s">
        <v>155</v>
      </c>
      <c r="AH600" s="229">
        <v>0.73099999999999998</v>
      </c>
      <c r="AI600" s="225">
        <f t="shared" si="409"/>
        <v>947.66981897019673</v>
      </c>
      <c r="AJ600" s="226">
        <f t="shared" si="410"/>
        <v>1.169849912814397E-2</v>
      </c>
      <c r="AK600" s="226"/>
      <c r="AL600" s="226">
        <f t="shared" si="411"/>
        <v>177.57443036142635</v>
      </c>
      <c r="AM600" s="228">
        <f t="shared" si="412"/>
        <v>230207.83621661933</v>
      </c>
      <c r="AN600" s="226"/>
      <c r="AO600" s="227">
        <v>1.8931000971817</v>
      </c>
      <c r="AP600" s="225"/>
      <c r="AQ600" s="226">
        <f t="shared" si="413"/>
        <v>2454.2186407505383</v>
      </c>
      <c r="AR600" s="226">
        <f t="shared" si="414"/>
        <v>2.6112632114034498E-3</v>
      </c>
      <c r="AS600" s="228">
        <f>AR600*'DADOS BASE'!W$38</f>
        <v>783313.07523789175</v>
      </c>
      <c r="AT600" s="225"/>
      <c r="AU600" s="227">
        <v>123.09172365241</v>
      </c>
      <c r="AV600" s="227">
        <v>73.75</v>
      </c>
      <c r="AW600" s="226">
        <f t="shared" si="415"/>
        <v>30.772930913102499</v>
      </c>
      <c r="AX600" s="226">
        <f>IF($AW$11&gt;0,(AW600/$AW$11)*'DADOS BASE'!W$40,0)</f>
        <v>5529.1686521016763</v>
      </c>
      <c r="AY600" s="226">
        <f t="shared" si="416"/>
        <v>58.25623850216008</v>
      </c>
      <c r="AZ600" s="226">
        <f t="shared" si="417"/>
        <v>3.0468196522124291E-3</v>
      </c>
      <c r="BA600" s="226">
        <f>AZ600*'DADOS BASE'!W$41</f>
        <v>22509.458054200648</v>
      </c>
      <c r="BB600" s="225"/>
      <c r="BC600" s="227">
        <v>0</v>
      </c>
      <c r="BD600" s="226">
        <f>IF($BC$11&gt;0,(BC600/$BC$11)*'DADOS BASE'!W$39,0)</f>
        <v>0</v>
      </c>
      <c r="BE600" s="187"/>
    </row>
    <row r="601" spans="2:57" x14ac:dyDescent="0.3">
      <c r="F601" s="185"/>
      <c r="H601" s="186"/>
      <c r="J601" s="186"/>
      <c r="K601" s="186"/>
      <c r="L601" s="186"/>
      <c r="M601" s="186"/>
      <c r="N601" s="186"/>
      <c r="O601" s="187"/>
      <c r="P601" s="186"/>
      <c r="Q601" s="186"/>
      <c r="R601" s="186"/>
      <c r="S601" s="186"/>
      <c r="T601" s="186"/>
      <c r="U601" s="186"/>
      <c r="V601" s="186"/>
      <c r="W601" s="187"/>
      <c r="X601" s="186"/>
      <c r="Y601" s="186"/>
      <c r="Z601" s="185"/>
      <c r="AA601" s="186"/>
      <c r="AB601" s="186"/>
      <c r="AC601" s="186"/>
      <c r="AD601" s="186"/>
      <c r="AE601" s="186"/>
      <c r="AF601" s="186"/>
      <c r="AG601" s="186"/>
      <c r="AH601" s="185"/>
      <c r="AJ601" s="186"/>
      <c r="AK601" s="186"/>
      <c r="AL601" s="186"/>
      <c r="AM601" s="187"/>
      <c r="AN601" s="186"/>
      <c r="AO601" s="186"/>
      <c r="AQ601" s="186"/>
      <c r="AR601" s="186"/>
      <c r="AS601" s="187"/>
      <c r="AU601" s="186"/>
      <c r="AV601" s="186"/>
      <c r="AW601" s="186"/>
      <c r="AX601" s="186"/>
      <c r="AY601" s="186"/>
      <c r="AZ601" s="186"/>
      <c r="BA601" s="186"/>
      <c r="BC601" s="186"/>
      <c r="BD601" s="186"/>
      <c r="BE601" s="187"/>
    </row>
    <row r="602" spans="2:57" x14ac:dyDescent="0.3">
      <c r="B602" s="209" t="s">
        <v>698</v>
      </c>
      <c r="C602" s="209" t="s">
        <v>699</v>
      </c>
      <c r="D602" s="211" t="s">
        <v>154</v>
      </c>
      <c r="E602" s="211"/>
      <c r="F602" s="210"/>
      <c r="G602" s="211"/>
      <c r="H602" s="212">
        <f ca="1">SUM(H603:H608)</f>
        <v>6526102.8573165145</v>
      </c>
      <c r="I602" s="211"/>
      <c r="J602" s="212">
        <f>SUM(J603:J608)</f>
        <v>6526102.8573165145</v>
      </c>
      <c r="K602" s="212"/>
      <c r="L602" s="212">
        <f>SUM(L603:L608)</f>
        <v>6257.8320707486346</v>
      </c>
      <c r="M602" s="212">
        <f>SUM(M603:M608)</f>
        <v>4.882070569911824E-3</v>
      </c>
      <c r="N602" s="212">
        <f>SUM(N603:N608)</f>
        <v>6162313.3402313758</v>
      </c>
      <c r="O602" s="214"/>
      <c r="P602" s="212">
        <f>SUM(P603:P608)</f>
        <v>740.59207421328995</v>
      </c>
      <c r="Q602" s="212">
        <f>SUM(Q603:Q608)</f>
        <v>182321.94340620149</v>
      </c>
      <c r="R602" s="212"/>
      <c r="S602" s="212">
        <f>SUM(S603:S608)</f>
        <v>230.35050712107198</v>
      </c>
      <c r="T602" s="212">
        <f>SUM(T603:T608)</f>
        <v>181467.57367893745</v>
      </c>
      <c r="U602" s="212"/>
      <c r="V602" s="212">
        <f>SUM(V603:V608)</f>
        <v>363789.51708513894</v>
      </c>
      <c r="W602" s="214"/>
      <c r="X602" s="212">
        <f>SUMIF(INDICADORES!$D$13:$D$53,C602,INDICADORES!$L$13:$L$53)</f>
        <v>5.5554533581059953E-2</v>
      </c>
      <c r="Y602" s="212">
        <f>X602*'DADOS BASE'!$I$79</f>
        <v>2306802.9272761722</v>
      </c>
      <c r="Z602" s="210">
        <f>SUMIF(INDICADORES!$D$13:$D$53,C602,INDICADORES!$R$13:$R$53)</f>
        <v>0</v>
      </c>
      <c r="AA602" s="212">
        <f>Z602*'DADOS BASE'!$I$84</f>
        <v>0</v>
      </c>
      <c r="AB602" s="212">
        <f>SUMIF(INDICADORES!$D$13:$D$53,C602,INDICADORES!$Z$13:$Z$53)</f>
        <v>2.1854055904053555E-2</v>
      </c>
      <c r="AC602" s="212">
        <f>AB602*'DADOS BASE'!$I$89</f>
        <v>1814901.3908566057</v>
      </c>
      <c r="AD602" s="212"/>
      <c r="AE602" s="212">
        <f>SUM(AE603:AE608)</f>
        <v>3534</v>
      </c>
      <c r="AF602" s="212">
        <f>SUM(AF603:AF608)</f>
        <v>2523.3340322743197</v>
      </c>
      <c r="AG602" s="212" t="s">
        <v>155</v>
      </c>
      <c r="AH602" s="210"/>
      <c r="AI602" s="211"/>
      <c r="AJ602" s="212"/>
      <c r="AK602" s="212"/>
      <c r="AL602" s="212"/>
      <c r="AM602" s="214">
        <f>SUM(AM603:AM608)</f>
        <v>468533.3947110459</v>
      </c>
      <c r="AN602" s="212"/>
      <c r="AO602" s="212"/>
      <c r="AP602" s="211"/>
      <c r="AQ602" s="212">
        <f>SUM(AQ603:AQ608)</f>
        <v>5213.6827529433704</v>
      </c>
      <c r="AR602" s="212"/>
      <c r="AS602" s="214">
        <f>SUM(AS603:AS608)</f>
        <v>1664051.3614850119</v>
      </c>
      <c r="AT602" s="211"/>
      <c r="AU602" s="212">
        <f t="shared" ref="AU602:BA602" si="418">SUM(AU603:AU608)</f>
        <v>222.71097223735089</v>
      </c>
      <c r="AV602" s="212">
        <f t="shared" si="418"/>
        <v>507.5</v>
      </c>
      <c r="AW602" s="212">
        <f t="shared" si="418"/>
        <v>55.677743059337722</v>
      </c>
      <c r="AX602" s="212">
        <f t="shared" si="418"/>
        <v>10003.975000391813</v>
      </c>
      <c r="AY602" s="212">
        <f t="shared" si="418"/>
        <v>110.84623309899237</v>
      </c>
      <c r="AZ602" s="212">
        <f t="shared" si="418"/>
        <v>5.7972929606021021E-3</v>
      </c>
      <c r="BA602" s="212">
        <f t="shared" si="418"/>
        <v>42829.552654955594</v>
      </c>
      <c r="BB602" s="211"/>
      <c r="BC602" s="212">
        <f>SUM(BC603:BC608)</f>
        <v>174</v>
      </c>
      <c r="BD602" s="212">
        <f>SUM(BD603:BD608)</f>
        <v>940157.49817743385</v>
      </c>
      <c r="BE602" s="187"/>
    </row>
    <row r="603" spans="2:57" x14ac:dyDescent="0.3">
      <c r="B603" s="216" t="s">
        <v>698</v>
      </c>
      <c r="C603" s="218" t="s">
        <v>156</v>
      </c>
      <c r="D603" s="218" t="s">
        <v>157</v>
      </c>
      <c r="E603" s="218"/>
      <c r="F603" s="217"/>
      <c r="G603" s="218"/>
      <c r="H603" s="219"/>
      <c r="I603" s="218"/>
      <c r="J603" s="219"/>
      <c r="K603" s="219"/>
      <c r="L603" s="219">
        <v>0</v>
      </c>
      <c r="M603" s="219">
        <v>0</v>
      </c>
      <c r="N603" s="219">
        <v>0</v>
      </c>
      <c r="O603" s="221"/>
      <c r="P603" s="219"/>
      <c r="Q603" s="219"/>
      <c r="R603" s="219"/>
      <c r="S603" s="219"/>
      <c r="T603" s="219"/>
      <c r="U603" s="219"/>
      <c r="V603" s="219"/>
      <c r="W603" s="221"/>
      <c r="X603" s="219"/>
      <c r="Y603" s="219"/>
      <c r="Z603" s="217"/>
      <c r="AA603" s="219"/>
      <c r="AB603" s="219"/>
      <c r="AC603" s="219"/>
      <c r="AD603" s="219"/>
      <c r="AE603" s="219"/>
      <c r="AF603" s="219"/>
      <c r="AG603" s="219" t="s">
        <v>155</v>
      </c>
      <c r="AH603" s="217"/>
      <c r="AI603" s="218"/>
      <c r="AJ603" s="219"/>
      <c r="AK603" s="219"/>
      <c r="AL603" s="219"/>
      <c r="AM603" s="221"/>
      <c r="AN603" s="219"/>
      <c r="AO603" s="219"/>
      <c r="AP603" s="218"/>
      <c r="AQ603" s="219"/>
      <c r="AR603" s="219"/>
      <c r="AS603" s="221"/>
      <c r="AT603" s="218"/>
      <c r="AU603" s="219"/>
      <c r="AV603" s="219"/>
      <c r="AW603" s="219"/>
      <c r="AX603" s="219"/>
      <c r="AY603" s="219"/>
      <c r="AZ603" s="219"/>
      <c r="BA603" s="219"/>
      <c r="BB603" s="218"/>
      <c r="BC603" s="219"/>
      <c r="BD603" s="219"/>
      <c r="BE603" s="187"/>
    </row>
    <row r="604" spans="2:57" x14ac:dyDescent="0.3">
      <c r="B604" s="223" t="s">
        <v>698</v>
      </c>
      <c r="C604" s="223" t="s">
        <v>700</v>
      </c>
      <c r="D604" s="223" t="s">
        <v>92</v>
      </c>
      <c r="E604" s="223">
        <v>2010</v>
      </c>
      <c r="F604" s="224"/>
      <c r="G604" s="225"/>
      <c r="H604" s="226">
        <f ca="1">IF(AND(E604&gt;=2018,SUMIF('DADOS BASE'!$C$101:$D$104,D604,'DADOS BASE'!$H$101:$H$104)&gt;J604),
SUMIF('DADOS BASE'!$C$101:$D$104,D604,'DADOS BASE'!$H$101:$H$104),
J604)</f>
        <v>917134.0236526943</v>
      </c>
      <c r="I604" s="225"/>
      <c r="J604" s="226">
        <f>N604+Q604+T604</f>
        <v>917134.0236526943</v>
      </c>
      <c r="K604" s="226"/>
      <c r="L604" s="227">
        <v>910.28602871714997</v>
      </c>
      <c r="M604" s="226">
        <f>L604/$L$11</f>
        <v>7.1016297349606812E-4</v>
      </c>
      <c r="N604" s="226">
        <f>L604*'DADOS BASE'!$I$29</f>
        <v>896391.54179457936</v>
      </c>
      <c r="O604" s="228"/>
      <c r="P604" s="227">
        <v>0</v>
      </c>
      <c r="Q604" s="226">
        <f>P604*'DADOS BASE'!$I$33</f>
        <v>0</v>
      </c>
      <c r="R604" s="226"/>
      <c r="S604" s="227">
        <v>26.33</v>
      </c>
      <c r="T604" s="226">
        <f>S604*'DADOS BASE'!$I$37</f>
        <v>20742.481858114985</v>
      </c>
      <c r="U604" s="226"/>
      <c r="V604" s="226">
        <f>T604+Q604</f>
        <v>20742.481858114985</v>
      </c>
      <c r="W604" s="228"/>
      <c r="X604" s="226"/>
      <c r="Y604" s="226"/>
      <c r="Z604" s="224"/>
      <c r="AA604" s="226"/>
      <c r="AB604" s="226"/>
      <c r="AC604" s="226"/>
      <c r="AD604" s="226"/>
      <c r="AE604" s="227">
        <v>317</v>
      </c>
      <c r="AF604" s="227">
        <v>242.74294099124</v>
      </c>
      <c r="AG604" s="226" t="s">
        <v>155</v>
      </c>
      <c r="AH604" s="229">
        <v>0.48399999999999999</v>
      </c>
      <c r="AI604" s="225">
        <f>AF604*AH604</f>
        <v>117.48758343976016</v>
      </c>
      <c r="AJ604" s="226">
        <f>(AH604-$AI$12)*$AJ$12</f>
        <v>-0.32145363445256664</v>
      </c>
      <c r="AK604" s="226"/>
      <c r="AL604" s="226">
        <f>$AL$11-(AJ604*$AL$11)</f>
        <v>237.43399780324404</v>
      </c>
      <c r="AM604" s="228">
        <f>AF604*AL604</f>
        <v>57635.426918067074</v>
      </c>
      <c r="AN604" s="226"/>
      <c r="AO604" s="227">
        <v>2.2974452554745</v>
      </c>
      <c r="AP604" s="225"/>
      <c r="AQ604" s="226">
        <f>AF604*AO604</f>
        <v>557.68861808025088</v>
      </c>
      <c r="AR604" s="226">
        <f>AQ604/$AQ$11</f>
        <v>5.9337491274454555E-4</v>
      </c>
      <c r="AS604" s="228">
        <f>AR604*'DADOS BASE'!W$38</f>
        <v>177997.50160809531</v>
      </c>
      <c r="AT604" s="225"/>
      <c r="AU604" s="227">
        <v>26.33</v>
      </c>
      <c r="AV604" s="227">
        <v>61.25</v>
      </c>
      <c r="AW604" s="226">
        <f>AU604/4</f>
        <v>6.5824999999999996</v>
      </c>
      <c r="AX604" s="226">
        <f>IF($AW$11&gt;0,(AW604/$AW$11)*'DADOS BASE'!W$40,0)</f>
        <v>1182.7197336267602</v>
      </c>
      <c r="AY604" s="226">
        <f>AO604*AW604</f>
        <v>15.122933394160896</v>
      </c>
      <c r="AZ604" s="226">
        <f>IF($AY$11&gt;0,AY604/$AY$11,0)</f>
        <v>7.9093418746424115E-4</v>
      </c>
      <c r="BA604" s="226">
        <f>AZ604*'DADOS BASE'!W$41</f>
        <v>5843.3061187037138</v>
      </c>
      <c r="BB604" s="225"/>
      <c r="BC604" s="227">
        <v>103</v>
      </c>
      <c r="BD604" s="226">
        <f>IF($BC$11&gt;0,(BC604/$BC$11)*'DADOS BASE'!W$39,0)</f>
        <v>556530.01328894077</v>
      </c>
      <c r="BE604" s="187"/>
    </row>
    <row r="605" spans="2:57" x14ac:dyDescent="0.3">
      <c r="B605" s="184" t="s">
        <v>698</v>
      </c>
      <c r="C605" s="184" t="s">
        <v>701</v>
      </c>
      <c r="D605" s="184" t="s">
        <v>98</v>
      </c>
      <c r="E605" s="184">
        <v>2015</v>
      </c>
      <c r="F605" s="185"/>
      <c r="H605" s="186">
        <f ca="1">IF(AND(E605&gt;=2018,SUMIF('DADOS BASE'!$C$101:$D$104,D605,'DADOS BASE'!$H$101:$H$104)&gt;J605),
SUMIF('DADOS BASE'!$C$101:$D$104,D605,'DADOS BASE'!$H$101:$H$104),
J605)</f>
        <v>84837.734787666777</v>
      </c>
      <c r="J605" s="186">
        <f>N605+Q605+T605</f>
        <v>84837.734787666777</v>
      </c>
      <c r="K605" s="186"/>
      <c r="L605" s="188">
        <v>55.039609357345</v>
      </c>
      <c r="M605" s="186">
        <f>L605/$L$11</f>
        <v>4.2939352476230891E-5</v>
      </c>
      <c r="N605" s="186">
        <f>L605*'DADOS BASE'!$I$29</f>
        <v>54199.49195653553</v>
      </c>
      <c r="O605" s="187"/>
      <c r="P605" s="188">
        <v>0</v>
      </c>
      <c r="Q605" s="186">
        <f>P605*'DADOS BASE'!$I$33</f>
        <v>0</v>
      </c>
      <c r="R605" s="186"/>
      <c r="S605" s="188">
        <v>38.891437353630003</v>
      </c>
      <c r="T605" s="186">
        <f>S605*'DADOS BASE'!$I$37</f>
        <v>30638.242831131251</v>
      </c>
      <c r="U605" s="186"/>
      <c r="V605" s="186">
        <f>T605+Q605</f>
        <v>30638.242831131251</v>
      </c>
      <c r="W605" s="187"/>
      <c r="X605" s="186"/>
      <c r="Y605" s="186"/>
      <c r="Z605" s="185"/>
      <c r="AA605" s="186"/>
      <c r="AB605" s="186"/>
      <c r="AC605" s="186"/>
      <c r="AD605" s="186"/>
      <c r="AE605" s="188">
        <v>165</v>
      </c>
      <c r="AF605" s="188">
        <v>23.303631245169999</v>
      </c>
      <c r="AG605" s="186" t="s">
        <v>155</v>
      </c>
      <c r="AH605" s="189">
        <v>0.626</v>
      </c>
      <c r="AI605" s="183">
        <f>AF605*AH605</f>
        <v>14.588073159476419</v>
      </c>
      <c r="AJ605" s="186">
        <f>(AH605-$AI$12)*$AJ$12</f>
        <v>-0.12992487749523501</v>
      </c>
      <c r="AK605" s="186"/>
      <c r="AL605" s="186">
        <f>$AL$11-(AJ605*$AL$11)</f>
        <v>203.02080518487111</v>
      </c>
      <c r="AM605" s="187">
        <f>AF605*AL605</f>
        <v>4731.1219791257336</v>
      </c>
      <c r="AN605" s="186"/>
      <c r="AO605" s="188">
        <v>1.9127906976744</v>
      </c>
      <c r="AQ605" s="186">
        <f>AF605*AO605</f>
        <v>44.574969067795671</v>
      </c>
      <c r="AR605" s="186">
        <f>AQ605/$AQ$11</f>
        <v>4.7427305352299644E-5</v>
      </c>
      <c r="AS605" s="187">
        <f>AR605*'DADOS BASE'!W$38</f>
        <v>14226.994905576556</v>
      </c>
      <c r="AU605" s="188">
        <v>38.891437353630003</v>
      </c>
      <c r="AV605" s="188">
        <v>102.25</v>
      </c>
      <c r="AW605" s="186">
        <f>AU605/4</f>
        <v>9.7228593384075008</v>
      </c>
      <c r="AX605" s="186">
        <f>IF($AW$11&gt;0,(AW605/$AW$11)*'DADOS BASE'!W$40,0)</f>
        <v>1746.9681134541249</v>
      </c>
      <c r="AY605" s="186">
        <f>AO605*AW605</f>
        <v>18.597794897302538</v>
      </c>
      <c r="AZ605" s="186">
        <f>IF($AY$11&gt;0,AY605/$AY$11,0)</f>
        <v>9.7267054032018152E-4</v>
      </c>
      <c r="BA605" s="186">
        <f>AZ605*'DADOS BASE'!W$41</f>
        <v>7185.947718302069</v>
      </c>
      <c r="BC605" s="188">
        <v>0</v>
      </c>
      <c r="BD605" s="186">
        <f>IF($BC$11&gt;0,(BC605/$BC$11)*'DADOS BASE'!W$39,0)</f>
        <v>0</v>
      </c>
      <c r="BE605" s="187"/>
    </row>
    <row r="606" spans="2:57" x14ac:dyDescent="0.3">
      <c r="B606" s="223" t="s">
        <v>698</v>
      </c>
      <c r="C606" s="223" t="s">
        <v>702</v>
      </c>
      <c r="D606" s="223" t="s">
        <v>94</v>
      </c>
      <c r="E606" s="223">
        <v>1993</v>
      </c>
      <c r="F606" s="224"/>
      <c r="G606" s="225"/>
      <c r="H606" s="226">
        <f ca="1">IF(AND(E606&gt;=2018,SUMIF('DADOS BASE'!$C$101:$D$104,D606,'DADOS BASE'!$H$101:$H$104)&gt;J606),
SUMIF('DADOS BASE'!$C$101:$D$104,D606,'DADOS BASE'!$H$101:$H$104),
J606)</f>
        <v>2720188.2499861801</v>
      </c>
      <c r="I606" s="225"/>
      <c r="J606" s="226">
        <f>N606+Q606+T606</f>
        <v>2720188.2499861801</v>
      </c>
      <c r="K606" s="226"/>
      <c r="L606" s="227">
        <v>2564.9811620309001</v>
      </c>
      <c r="M606" s="226">
        <f>L606/$L$11</f>
        <v>2.001079431655508E-3</v>
      </c>
      <c r="N606" s="226">
        <f>L606*'DADOS BASE'!$I$29</f>
        <v>2525829.6249445803</v>
      </c>
      <c r="O606" s="228"/>
      <c r="P606" s="227">
        <v>740.59207421328995</v>
      </c>
      <c r="Q606" s="226">
        <f>P606*'DADOS BASE'!$I$33</f>
        <v>182321.94340620149</v>
      </c>
      <c r="R606" s="226"/>
      <c r="S606" s="227">
        <v>15.279069767442</v>
      </c>
      <c r="T606" s="226">
        <f>S606*'DADOS BASE'!$I$37</f>
        <v>12036.681635398361</v>
      </c>
      <c r="U606" s="226"/>
      <c r="V606" s="226">
        <f>T606+Q606</f>
        <v>194358.62504159985</v>
      </c>
      <c r="W606" s="228"/>
      <c r="X606" s="226"/>
      <c r="Y606" s="226"/>
      <c r="Z606" s="224"/>
      <c r="AA606" s="226"/>
      <c r="AB606" s="226"/>
      <c r="AC606" s="226"/>
      <c r="AD606" s="226"/>
      <c r="AE606" s="227">
        <v>1833</v>
      </c>
      <c r="AF606" s="227">
        <v>1243.0023842752</v>
      </c>
      <c r="AG606" s="226" t="s">
        <v>155</v>
      </c>
      <c r="AH606" s="229">
        <v>0.752</v>
      </c>
      <c r="AI606" s="225">
        <f>AF606*AH606</f>
        <v>934.73779297495048</v>
      </c>
      <c r="AJ606" s="226">
        <f>(AH606-$AI$12)*$AJ$12</f>
        <v>4.0023174452819797E-2</v>
      </c>
      <c r="AK606" s="226"/>
      <c r="AL606" s="226">
        <f>$AL$11-(AJ606*$AL$11)</f>
        <v>172.48515539673738</v>
      </c>
      <c r="AM606" s="228">
        <f>AF606*AL606</f>
        <v>214399.45941022295</v>
      </c>
      <c r="AN606" s="226"/>
      <c r="AO606" s="227">
        <v>2.0560024752474999</v>
      </c>
      <c r="AP606" s="225"/>
      <c r="AQ606" s="226">
        <f>AF606*AO606</f>
        <v>2555.6159788083555</v>
      </c>
      <c r="AR606" s="226">
        <f>AQ606/$AQ$11</f>
        <v>2.7191489287589519E-3</v>
      </c>
      <c r="AS606" s="228">
        <f>AR606*'DADOS BASE'!W$38</f>
        <v>815676.06823949132</v>
      </c>
      <c r="AT606" s="225"/>
      <c r="AU606" s="227">
        <v>7.6395348837209003</v>
      </c>
      <c r="AV606" s="227">
        <v>188.5</v>
      </c>
      <c r="AW606" s="226">
        <f>AU606/4</f>
        <v>1.9098837209302251</v>
      </c>
      <c r="AX606" s="226">
        <f>IF($AW$11&gt;0,(AW606/$AW$11)*'DADOS BASE'!W$40,0)</f>
        <v>343.16098225243923</v>
      </c>
      <c r="AY606" s="226">
        <f>AO606*AW606</f>
        <v>3.9267256576674483</v>
      </c>
      <c r="AZ606" s="226">
        <f>IF($AY$11&gt;0,AY606/$AY$11,0)</f>
        <v>2.0536899069074538E-4</v>
      </c>
      <c r="BA606" s="226">
        <f>AZ606*'DADOS BASE'!W$41</f>
        <v>1517.2360721219845</v>
      </c>
      <c r="BB606" s="225"/>
      <c r="BC606" s="227">
        <v>0</v>
      </c>
      <c r="BD606" s="226">
        <f>IF($BC$11&gt;0,(BC606/$BC$11)*'DADOS BASE'!W$39,0)</f>
        <v>0</v>
      </c>
      <c r="BE606" s="187"/>
    </row>
    <row r="607" spans="2:57" x14ac:dyDescent="0.3">
      <c r="B607" s="184" t="s">
        <v>698</v>
      </c>
      <c r="C607" s="184" t="s">
        <v>703</v>
      </c>
      <c r="D607" s="184" t="s">
        <v>94</v>
      </c>
      <c r="E607" s="184">
        <v>2013</v>
      </c>
      <c r="F607" s="185"/>
      <c r="H607" s="186">
        <f ca="1">IF(AND(E607&gt;=2018,SUMIF('DADOS BASE'!$C$101:$D$104,D607,'DADOS BASE'!$H$101:$H$104)&gt;J607),
SUMIF('DADOS BASE'!$C$101:$D$104,D607,'DADOS BASE'!$H$101:$H$104),
J607)</f>
        <v>712428.62400449521</v>
      </c>
      <c r="J607" s="186">
        <f>N607+Q607+T607</f>
        <v>712428.62400449521</v>
      </c>
      <c r="K607" s="186"/>
      <c r="L607" s="188">
        <v>705.39159991173995</v>
      </c>
      <c r="M607" s="186">
        <f>L607/$L$11</f>
        <v>5.5031383572748025E-4</v>
      </c>
      <c r="N607" s="186">
        <f>L607*'DADOS BASE'!$I$29</f>
        <v>694624.59476053785</v>
      </c>
      <c r="O607" s="187"/>
      <c r="P607" s="188">
        <v>0</v>
      </c>
      <c r="Q607" s="186">
        <f>P607*'DADOS BASE'!$I$33</f>
        <v>0</v>
      </c>
      <c r="R607" s="186"/>
      <c r="S607" s="188">
        <v>22.6</v>
      </c>
      <c r="T607" s="186">
        <f>S607*'DADOS BASE'!$I$37</f>
        <v>17804.029243957415</v>
      </c>
      <c r="U607" s="186"/>
      <c r="V607" s="186">
        <f>T607+Q607</f>
        <v>17804.029243957415</v>
      </c>
      <c r="W607" s="187"/>
      <c r="X607" s="186"/>
      <c r="Y607" s="186"/>
      <c r="Z607" s="185"/>
      <c r="AA607" s="186"/>
      <c r="AB607" s="186"/>
      <c r="AC607" s="186"/>
      <c r="AD607" s="186"/>
      <c r="AE607" s="188">
        <v>602</v>
      </c>
      <c r="AF607" s="188">
        <v>472.11609690096998</v>
      </c>
      <c r="AG607" s="186" t="s">
        <v>155</v>
      </c>
      <c r="AH607" s="189">
        <v>0.752</v>
      </c>
      <c r="AI607" s="183">
        <f>AF607*AH607</f>
        <v>355.03130486952944</v>
      </c>
      <c r="AJ607" s="186">
        <f>(AH607-$AI$12)*$AJ$12</f>
        <v>4.0023174452819797E-2</v>
      </c>
      <c r="AK607" s="186"/>
      <c r="AL607" s="186">
        <f>$AL$11-(AJ607*$AL$11)</f>
        <v>172.48515539673738</v>
      </c>
      <c r="AM607" s="187">
        <f>AF607*AL607</f>
        <v>81433.018339264934</v>
      </c>
      <c r="AN607" s="186"/>
      <c r="AO607" s="188">
        <v>2.1507413509061002</v>
      </c>
      <c r="AQ607" s="186">
        <f>AF607*AO607</f>
        <v>1015.3996120333074</v>
      </c>
      <c r="AR607" s="186">
        <f>AQ607/$AQ$11</f>
        <v>1.0803746690494734E-3</v>
      </c>
      <c r="AS607" s="187">
        <f>AR607*'DADOS BASE'!W$38</f>
        <v>324085.14037442644</v>
      </c>
      <c r="AU607" s="188">
        <v>22.6</v>
      </c>
      <c r="AV607" s="188">
        <v>28.25</v>
      </c>
      <c r="AW607" s="186">
        <f>AU607/4</f>
        <v>5.65</v>
      </c>
      <c r="AX607" s="186">
        <f>IF($AW$11&gt;0,(AW607/$AW$11)*'DADOS BASE'!W$40,0)</f>
        <v>1015.1715146207665</v>
      </c>
      <c r="AY607" s="186">
        <f>AO607*AW607</f>
        <v>12.151688632619466</v>
      </c>
      <c r="AZ607" s="186">
        <f>IF($AY$11&gt;0,AY607/$AY$11,0)</f>
        <v>6.3553714907388945E-4</v>
      </c>
      <c r="BA607" s="186">
        <f>AZ607*'DADOS BASE'!W$41</f>
        <v>4695.2555227799776</v>
      </c>
      <c r="BC607" s="188">
        <v>0</v>
      </c>
      <c r="BD607" s="186">
        <f>IF($BC$11&gt;0,(BC607/$BC$11)*'DADOS BASE'!W$39,0)</f>
        <v>0</v>
      </c>
      <c r="BE607" s="187"/>
    </row>
    <row r="608" spans="2:57" x14ac:dyDescent="0.3">
      <c r="B608" s="223" t="s">
        <v>698</v>
      </c>
      <c r="C608" s="223" t="s">
        <v>704</v>
      </c>
      <c r="D608" s="223" t="s">
        <v>92</v>
      </c>
      <c r="E608" s="223">
        <v>2099</v>
      </c>
      <c r="F608" s="224"/>
      <c r="G608" s="225"/>
      <c r="H608" s="226">
        <f ca="1">IF(AND(E608&gt;=2018,SUMIF('DADOS BASE'!$C$101:$D$104,D608,'DADOS BASE'!$H$101:$H$104)&gt;J608),
SUMIF('DADOS BASE'!$C$101:$D$104,D608,'DADOS BASE'!$H$101:$H$104),
J608)</f>
        <v>2091514.2248854779</v>
      </c>
      <c r="I608" s="225"/>
      <c r="J608" s="226">
        <f>N608+Q608+T608</f>
        <v>2091514.2248854779</v>
      </c>
      <c r="K608" s="226"/>
      <c r="L608" s="227">
        <v>2022.1336707314999</v>
      </c>
      <c r="M608" s="226">
        <f>L608/$L$11</f>
        <v>1.577574976556537E-3</v>
      </c>
      <c r="N608" s="226">
        <f>L608*'DADOS BASE'!$I$29</f>
        <v>1991268.0867751425</v>
      </c>
      <c r="O608" s="228"/>
      <c r="P608" s="227">
        <v>0</v>
      </c>
      <c r="Q608" s="226">
        <f>P608*'DADOS BASE'!$I$33</f>
        <v>0</v>
      </c>
      <c r="R608" s="226"/>
      <c r="S608" s="227">
        <v>127.25</v>
      </c>
      <c r="T608" s="226">
        <f>S608*'DADOS BASE'!$I$37</f>
        <v>100246.13811033544</v>
      </c>
      <c r="U608" s="226"/>
      <c r="V608" s="226">
        <f>T608+Q608</f>
        <v>100246.13811033544</v>
      </c>
      <c r="W608" s="228"/>
      <c r="X608" s="226"/>
      <c r="Y608" s="226"/>
      <c r="Z608" s="224"/>
      <c r="AA608" s="226"/>
      <c r="AB608" s="226"/>
      <c r="AC608" s="226"/>
      <c r="AD608" s="226"/>
      <c r="AE608" s="227">
        <v>617</v>
      </c>
      <c r="AF608" s="227">
        <v>542.16897886174002</v>
      </c>
      <c r="AG608" s="226" t="s">
        <v>155</v>
      </c>
      <c r="AH608" s="229">
        <v>0.624</v>
      </c>
      <c r="AI608" s="225">
        <f>AF608*AH608</f>
        <v>338.31344280972576</v>
      </c>
      <c r="AJ608" s="226">
        <f>(AH608-$AI$12)*$AJ$12</f>
        <v>-0.13262246562139463</v>
      </c>
      <c r="AK608" s="226"/>
      <c r="AL608" s="226">
        <f>$AL$11-(AJ608*$AL$11)</f>
        <v>203.50549803865101</v>
      </c>
      <c r="AM608" s="228">
        <f>AF608*AL608</f>
        <v>110334.36806436525</v>
      </c>
      <c r="AN608" s="226"/>
      <c r="AO608" s="227">
        <v>1.9189655172414</v>
      </c>
      <c r="AP608" s="225"/>
      <c r="AQ608" s="226">
        <f>AF608*AO608</f>
        <v>1040.4035749536606</v>
      </c>
      <c r="AR608" s="226">
        <f>AQ608/$AQ$11</f>
        <v>1.1069786265898037E-3</v>
      </c>
      <c r="AS608" s="228">
        <f>AR608*'DADOS BASE'!W$38</f>
        <v>332065.6563574223</v>
      </c>
      <c r="AT608" s="225"/>
      <c r="AU608" s="227">
        <v>127.25</v>
      </c>
      <c r="AV608" s="227">
        <v>127.25</v>
      </c>
      <c r="AW608" s="226">
        <f>AU608/4</f>
        <v>31.8125</v>
      </c>
      <c r="AX608" s="226">
        <f>IF($AW$11&gt;0,(AW608/$AW$11)*'DADOS BASE'!W$40,0)</f>
        <v>5715.9546564377224</v>
      </c>
      <c r="AY608" s="226">
        <f>AO608*AW608</f>
        <v>61.047090517242033</v>
      </c>
      <c r="AZ608" s="226">
        <f>IF($AY$11&gt;0,AY608/$AY$11,0)</f>
        <v>3.1927820930530448E-3</v>
      </c>
      <c r="BA608" s="226">
        <f>AZ608*'DADOS BASE'!W$41</f>
        <v>23587.807223047846</v>
      </c>
      <c r="BB608" s="225"/>
      <c r="BC608" s="227">
        <v>71</v>
      </c>
      <c r="BD608" s="226">
        <f>IF($BC$11&gt;0,(BC608/$BC$11)*'DADOS BASE'!W$39,0)</f>
        <v>383627.48488849314</v>
      </c>
      <c r="BE608" s="187"/>
    </row>
    <row r="609" spans="2:57" x14ac:dyDescent="0.3">
      <c r="F609" s="185"/>
      <c r="H609" s="186"/>
      <c r="J609" s="186"/>
      <c r="K609" s="186"/>
      <c r="L609" s="186"/>
      <c r="M609" s="186"/>
      <c r="N609" s="186"/>
      <c r="O609" s="187"/>
      <c r="P609" s="186"/>
      <c r="Q609" s="186"/>
      <c r="R609" s="186"/>
      <c r="S609" s="186"/>
      <c r="T609" s="186"/>
      <c r="U609" s="186"/>
      <c r="V609" s="186"/>
      <c r="W609" s="187"/>
      <c r="X609" s="186"/>
      <c r="Y609" s="186"/>
      <c r="Z609" s="185"/>
      <c r="AA609" s="186"/>
      <c r="AB609" s="186"/>
      <c r="AC609" s="186"/>
      <c r="AD609" s="186"/>
      <c r="AE609" s="186"/>
      <c r="AF609" s="186"/>
      <c r="AG609" s="186"/>
      <c r="AH609" s="185"/>
      <c r="AJ609" s="186"/>
      <c r="AK609" s="186"/>
      <c r="AL609" s="186"/>
      <c r="AM609" s="187"/>
      <c r="AN609" s="186"/>
      <c r="AO609" s="186"/>
      <c r="AQ609" s="186"/>
      <c r="AR609" s="186"/>
      <c r="AS609" s="187"/>
      <c r="AU609" s="186"/>
      <c r="AV609" s="186"/>
      <c r="AW609" s="186"/>
      <c r="AX609" s="186"/>
      <c r="AY609" s="186"/>
      <c r="AZ609" s="186"/>
      <c r="BA609" s="186"/>
      <c r="BC609" s="186"/>
      <c r="BD609" s="186"/>
      <c r="BE609" s="187"/>
    </row>
    <row r="610" spans="2:57" x14ac:dyDescent="0.3">
      <c r="B610" s="209" t="s">
        <v>705</v>
      </c>
      <c r="C610" s="209" t="s">
        <v>706</v>
      </c>
      <c r="D610" s="211" t="s">
        <v>154</v>
      </c>
      <c r="E610" s="211"/>
      <c r="F610" s="210"/>
      <c r="G610" s="211"/>
      <c r="H610" s="212">
        <f ca="1">SUM(H611:H628)</f>
        <v>36830372.588926621</v>
      </c>
      <c r="I610" s="211"/>
      <c r="J610" s="212">
        <f>SUM(J611:J628)</f>
        <v>36830372.588926621</v>
      </c>
      <c r="K610" s="212"/>
      <c r="L610" s="212">
        <f>SUM(L611:L628)</f>
        <v>28985.692114966398</v>
      </c>
      <c r="M610" s="212">
        <f>SUM(M611:M628)</f>
        <v>2.2613293681125191E-2</v>
      </c>
      <c r="N610" s="212">
        <f>SUM(N611:N628)</f>
        <v>28543258.300398652</v>
      </c>
      <c r="O610" s="214"/>
      <c r="P610" s="212">
        <f>SUM(P611:P628)</f>
        <v>0</v>
      </c>
      <c r="Q610" s="212">
        <f>SUM(Q611:Q628)</f>
        <v>0</v>
      </c>
      <c r="R610" s="212"/>
      <c r="S610" s="212">
        <f>SUM(S611:S628)</f>
        <v>10519.460530783894</v>
      </c>
      <c r="T610" s="212">
        <f>SUM(T611:T628)</f>
        <v>8287114.288527973</v>
      </c>
      <c r="U610" s="212"/>
      <c r="V610" s="212">
        <f>SUM(V611:V628)</f>
        <v>8287114.288527973</v>
      </c>
      <c r="W610" s="214"/>
      <c r="X610" s="212">
        <f>SUMIF(INDICADORES!$D$13:$D$53,C610,INDICADORES!$L$13:$L$53)</f>
        <v>1.604091168300804E-2</v>
      </c>
      <c r="Y610" s="212">
        <f>X610*'DADOS BASE'!$I$79</f>
        <v>666070.24920027237</v>
      </c>
      <c r="Z610" s="210">
        <f>SUMIF(INDICADORES!$D$13:$D$53,C610,INDICADORES!$R$13:$R$53)</f>
        <v>1.1118115651326721E-2</v>
      </c>
      <c r="AA610" s="212">
        <f>Z610*'DADOS BASE'!$I$84</f>
        <v>461659.92362897575</v>
      </c>
      <c r="AB610" s="212">
        <f>SUMIF(INDICADORES!$D$13:$D$53,C610,INDICADORES!$Z$13:$Z$53)</f>
        <v>4.6713028652329985E-3</v>
      </c>
      <c r="AC610" s="212">
        <f>AB610*'DADOS BASE'!$I$89</f>
        <v>387935.0407285862</v>
      </c>
      <c r="AD610" s="212"/>
      <c r="AE610" s="212">
        <f>SUM(AE611:AE628)</f>
        <v>20252</v>
      </c>
      <c r="AF610" s="212">
        <f>SUM(AF611:AF628)</f>
        <v>12981.007773527073</v>
      </c>
      <c r="AG610" s="212" t="s">
        <v>155</v>
      </c>
      <c r="AH610" s="210"/>
      <c r="AI610" s="211"/>
      <c r="AJ610" s="212"/>
      <c r="AK610" s="212"/>
      <c r="AL610" s="212"/>
      <c r="AM610" s="214">
        <f>SUM(AM611:AM628)</f>
        <v>2211178.3922752682</v>
      </c>
      <c r="AN610" s="212"/>
      <c r="AO610" s="212"/>
      <c r="AP610" s="211"/>
      <c r="AQ610" s="212">
        <f>SUM(AQ611:AQ628)</f>
        <v>18211.531239905555</v>
      </c>
      <c r="AR610" s="212"/>
      <c r="AS610" s="214">
        <f>SUM(AS611:AS628)</f>
        <v>5812575.2544845771</v>
      </c>
      <c r="AT610" s="211"/>
      <c r="AU610" s="212">
        <f t="shared" ref="AU610:BA610" si="419">SUM(AU611:AU628)</f>
        <v>10508.600887232355</v>
      </c>
      <c r="AV610" s="212">
        <f t="shared" si="419"/>
        <v>59114.25</v>
      </c>
      <c r="AW610" s="212">
        <f t="shared" si="419"/>
        <v>2627.1502218080886</v>
      </c>
      <c r="AX610" s="212">
        <f t="shared" si="419"/>
        <v>472036.82651490252</v>
      </c>
      <c r="AY610" s="212">
        <f t="shared" si="419"/>
        <v>3494.2946143240715</v>
      </c>
      <c r="AZ610" s="212">
        <f t="shared" si="419"/>
        <v>0.18275271070149632</v>
      </c>
      <c r="BA610" s="212">
        <f t="shared" si="419"/>
        <v>1350150.3027393459</v>
      </c>
      <c r="BB610" s="211"/>
      <c r="BC610" s="212">
        <f>SUM(BC611:BC628)</f>
        <v>225.5</v>
      </c>
      <c r="BD610" s="212">
        <f>SUM(BD611:BD628)</f>
        <v>1218422.5048219045</v>
      </c>
      <c r="BE610" s="187"/>
    </row>
    <row r="611" spans="2:57" x14ac:dyDescent="0.3">
      <c r="B611" s="216" t="s">
        <v>705</v>
      </c>
      <c r="C611" s="218" t="s">
        <v>156</v>
      </c>
      <c r="D611" s="218" t="s">
        <v>157</v>
      </c>
      <c r="E611" s="218"/>
      <c r="F611" s="217"/>
      <c r="G611" s="218"/>
      <c r="H611" s="219"/>
      <c r="I611" s="218"/>
      <c r="J611" s="219"/>
      <c r="K611" s="219"/>
      <c r="L611" s="219">
        <v>0</v>
      </c>
      <c r="M611" s="219">
        <v>0</v>
      </c>
      <c r="N611" s="219">
        <v>0</v>
      </c>
      <c r="O611" s="221"/>
      <c r="P611" s="219"/>
      <c r="Q611" s="219"/>
      <c r="R611" s="219"/>
      <c r="S611" s="219"/>
      <c r="T611" s="219"/>
      <c r="U611" s="219"/>
      <c r="V611" s="219"/>
      <c r="W611" s="221"/>
      <c r="X611" s="219"/>
      <c r="Y611" s="219"/>
      <c r="Z611" s="217"/>
      <c r="AA611" s="219"/>
      <c r="AB611" s="219"/>
      <c r="AC611" s="219"/>
      <c r="AD611" s="219"/>
      <c r="AE611" s="219"/>
      <c r="AF611" s="219"/>
      <c r="AG611" s="219" t="s">
        <v>155</v>
      </c>
      <c r="AH611" s="217"/>
      <c r="AI611" s="218"/>
      <c r="AJ611" s="219"/>
      <c r="AK611" s="219"/>
      <c r="AL611" s="219"/>
      <c r="AM611" s="221"/>
      <c r="AN611" s="219"/>
      <c r="AO611" s="219"/>
      <c r="AP611" s="218"/>
      <c r="AQ611" s="219"/>
      <c r="AR611" s="219"/>
      <c r="AS611" s="221"/>
      <c r="AT611" s="218"/>
      <c r="AU611" s="219"/>
      <c r="AV611" s="219"/>
      <c r="AW611" s="219"/>
      <c r="AX611" s="219"/>
      <c r="AY611" s="219"/>
      <c r="AZ611" s="219"/>
      <c r="BA611" s="219"/>
      <c r="BB611" s="218"/>
      <c r="BC611" s="219"/>
      <c r="BD611" s="219"/>
      <c r="BE611" s="187"/>
    </row>
    <row r="612" spans="2:57" x14ac:dyDescent="0.3">
      <c r="B612" s="223" t="s">
        <v>705</v>
      </c>
      <c r="C612" s="223" t="s">
        <v>707</v>
      </c>
      <c r="D612" s="223" t="s">
        <v>94</v>
      </c>
      <c r="E612" s="223">
        <v>0</v>
      </c>
      <c r="F612" s="224"/>
      <c r="G612" s="225"/>
      <c r="H612" s="226">
        <f ca="1">IF(AND(E612&gt;=2018,SUMIF('DADOS BASE'!$C$101:$D$104,D612,'DADOS BASE'!$H$101:$H$104)&gt;J612),
SUMIF('DADOS BASE'!$C$101:$D$104,D612,'DADOS BASE'!$H$101:$H$104),
J612)</f>
        <v>1693133.3059137245</v>
      </c>
      <c r="I612" s="225"/>
      <c r="J612" s="226">
        <f t="shared" ref="J612:J628" si="420">N612+Q612+T612</f>
        <v>1693133.3059137245</v>
      </c>
      <c r="K612" s="226"/>
      <c r="L612" s="227">
        <v>751.14766173404996</v>
      </c>
      <c r="M612" s="226">
        <f t="shared" ref="M612:M628" si="421">L612/$L$11</f>
        <v>5.8601059465170015E-4</v>
      </c>
      <c r="N612" s="226">
        <f>L612*'DADOS BASE'!$I$29</f>
        <v>739682.24203779071</v>
      </c>
      <c r="O612" s="228"/>
      <c r="P612" s="227">
        <v>0</v>
      </c>
      <c r="Q612" s="226">
        <f>P612*'DADOS BASE'!$I$33</f>
        <v>0</v>
      </c>
      <c r="R612" s="226"/>
      <c r="S612" s="227">
        <v>1210.2874999999999</v>
      </c>
      <c r="T612" s="226">
        <f>S612*'DADOS BASE'!$I$37</f>
        <v>953451.06387593388</v>
      </c>
      <c r="U612" s="226"/>
      <c r="V612" s="226">
        <f t="shared" ref="V612:V628" si="422">T612+Q612</f>
        <v>953451.06387593388</v>
      </c>
      <c r="W612" s="228"/>
      <c r="X612" s="226"/>
      <c r="Y612" s="226"/>
      <c r="Z612" s="224"/>
      <c r="AA612" s="226"/>
      <c r="AB612" s="226"/>
      <c r="AC612" s="226"/>
      <c r="AD612" s="226"/>
      <c r="AE612" s="227">
        <v>747</v>
      </c>
      <c r="AF612" s="227">
        <v>403.12636342241001</v>
      </c>
      <c r="AG612" s="226" t="s">
        <v>155</v>
      </c>
      <c r="AH612" s="229">
        <v>0.69899999999999995</v>
      </c>
      <c r="AI612" s="225">
        <f t="shared" ref="AI612:AI628" si="423">AF612*AH612</f>
        <v>281.7853280322646</v>
      </c>
      <c r="AJ612" s="226">
        <f t="shared" ref="AJ612:AJ628" si="424">(AH612-$AI$12)*$AJ$12</f>
        <v>-3.1462910890409673E-2</v>
      </c>
      <c r="AK612" s="226"/>
      <c r="AL612" s="226">
        <f t="shared" ref="AL612:AL628" si="425">$AL$11-(AJ612*$AL$11)</f>
        <v>185.32951602190477</v>
      </c>
      <c r="AM612" s="228">
        <f t="shared" ref="AM612:AM628" si="426">AF612*AL612</f>
        <v>74711.213828745735</v>
      </c>
      <c r="AN612" s="226"/>
      <c r="AO612" s="227">
        <v>1.4268435948096001</v>
      </c>
      <c r="AP612" s="225"/>
      <c r="AQ612" s="226">
        <f t="shared" ref="AQ612:AQ628" si="427">AF612*AO612</f>
        <v>575.19826954815278</v>
      </c>
      <c r="AR612" s="226">
        <f t="shared" ref="AR612:AR628" si="428">AQ612/$AQ$11</f>
        <v>6.1200500053030463E-4</v>
      </c>
      <c r="AS612" s="228">
        <f>AR612*'DADOS BASE'!W$38</f>
        <v>183586.05786381324</v>
      </c>
      <c r="AT612" s="225"/>
      <c r="AU612" s="227">
        <v>1210.2874999999999</v>
      </c>
      <c r="AV612" s="227">
        <v>5953.75</v>
      </c>
      <c r="AW612" s="226">
        <f t="shared" ref="AW612:AW628" si="429">AU612/4</f>
        <v>302.57187499999998</v>
      </c>
      <c r="AX612" s="226">
        <f>IF($AW$11&gt;0,(AW612/$AW$11)*'DADOS BASE'!W$40,0)</f>
        <v>54365.017455822162</v>
      </c>
      <c r="AY612" s="226">
        <f t="shared" ref="AY612:AY628" si="430">AO612*AW612</f>
        <v>431.72274181328095</v>
      </c>
      <c r="AZ612" s="226">
        <f t="shared" ref="AZ612:AZ628" si="431">IF($AY$11&gt;0,AY612/$AY$11,0)</f>
        <v>2.2579235595771668E-2</v>
      </c>
      <c r="BA612" s="226">
        <f>AZ612*'DADOS BASE'!W$41</f>
        <v>166812.09082062886</v>
      </c>
      <c r="BB612" s="225"/>
      <c r="BC612" s="227">
        <v>0</v>
      </c>
      <c r="BD612" s="226">
        <f>IF($BC$11&gt;0,(BC612/$BC$11)*'DADOS BASE'!W$39,0)</f>
        <v>0</v>
      </c>
      <c r="BE612" s="187"/>
    </row>
    <row r="613" spans="2:57" x14ac:dyDescent="0.3">
      <c r="B613" s="184" t="s">
        <v>705</v>
      </c>
      <c r="C613" s="184" t="s">
        <v>708</v>
      </c>
      <c r="D613" s="184" t="s">
        <v>98</v>
      </c>
      <c r="E613" s="184">
        <v>0</v>
      </c>
      <c r="F613" s="185"/>
      <c r="H613" s="186">
        <f ca="1">IF(AND(E613&gt;=2018,SUMIF('DADOS BASE'!$C$101:$D$104,D613,'DADOS BASE'!$H$101:$H$104)&gt;J613),
SUMIF('DADOS BASE'!$C$101:$D$104,D613,'DADOS BASE'!$H$101:$H$104),
J613)</f>
        <v>1390368.1321570782</v>
      </c>
      <c r="J613" s="186">
        <f t="shared" si="420"/>
        <v>1390368.1321570782</v>
      </c>
      <c r="K613" s="186"/>
      <c r="L613" s="188">
        <v>285.70448659214998</v>
      </c>
      <c r="M613" s="186">
        <f t="shared" si="421"/>
        <v>2.2289339980905511E-4</v>
      </c>
      <c r="N613" s="186">
        <f>L613*'DADOS BASE'!$I$29</f>
        <v>281343.53066462814</v>
      </c>
      <c r="O613" s="187"/>
      <c r="P613" s="188">
        <v>0</v>
      </c>
      <c r="Q613" s="186">
        <f>P613*'DADOS BASE'!$I$33</f>
        <v>0</v>
      </c>
      <c r="R613" s="186"/>
      <c r="S613" s="188">
        <v>1407.76875</v>
      </c>
      <c r="T613" s="186">
        <f>S613*'DADOS BASE'!$I$37</f>
        <v>1109024.6014924501</v>
      </c>
      <c r="U613" s="186"/>
      <c r="V613" s="186">
        <f t="shared" si="422"/>
        <v>1109024.6014924501</v>
      </c>
      <c r="W613" s="187"/>
      <c r="X613" s="186"/>
      <c r="Y613" s="186"/>
      <c r="Z613" s="185"/>
      <c r="AA613" s="186"/>
      <c r="AB613" s="186"/>
      <c r="AC613" s="186"/>
      <c r="AD613" s="186"/>
      <c r="AE613" s="188">
        <v>246</v>
      </c>
      <c r="AF613" s="188">
        <v>206.86798504273</v>
      </c>
      <c r="AG613" s="186" t="s">
        <v>155</v>
      </c>
      <c r="AH613" s="189">
        <v>0.77300000000000002</v>
      </c>
      <c r="AI613" s="183">
        <f t="shared" si="423"/>
        <v>159.9089524380303</v>
      </c>
      <c r="AJ613" s="186">
        <f t="shared" si="424"/>
        <v>6.8347849777495626E-2</v>
      </c>
      <c r="AK613" s="186"/>
      <c r="AL613" s="186">
        <f t="shared" si="425"/>
        <v>167.39588043204844</v>
      </c>
      <c r="AM613" s="187">
        <f t="shared" si="426"/>
        <v>34628.848489431613</v>
      </c>
      <c r="AN613" s="186"/>
      <c r="AO613" s="188">
        <v>1.3636566523605</v>
      </c>
      <c r="AQ613" s="186">
        <f t="shared" si="427"/>
        <v>282.0969039639312</v>
      </c>
      <c r="AR613" s="186">
        <f t="shared" si="428"/>
        <v>3.0014818367875848E-4</v>
      </c>
      <c r="AS613" s="187">
        <f>AR613*'DADOS BASE'!W$38</f>
        <v>90036.88167387525</v>
      </c>
      <c r="AU613" s="188">
        <v>1407.76875</v>
      </c>
      <c r="AV613" s="188">
        <v>9346.25</v>
      </c>
      <c r="AW613" s="186">
        <f t="shared" si="429"/>
        <v>351.94218749999999</v>
      </c>
      <c r="AX613" s="186">
        <f>IF($AW$11&gt;0,(AW613/$AW$11)*'DADOS BASE'!W$40,0)</f>
        <v>63235.696202357663</v>
      </c>
      <c r="AY613" s="186">
        <f t="shared" si="430"/>
        <v>479.92830523068142</v>
      </c>
      <c r="AZ613" s="186">
        <f t="shared" si="431"/>
        <v>2.5100401770286392E-2</v>
      </c>
      <c r="BA613" s="186">
        <f>AZ613*'DADOS BASE'!W$41</f>
        <v>185438.09784789087</v>
      </c>
      <c r="BC613" s="188">
        <v>0</v>
      </c>
      <c r="BD613" s="186">
        <f>IF($BC$11&gt;0,(BC613/$BC$11)*'DADOS BASE'!W$39,0)</f>
        <v>0</v>
      </c>
      <c r="BE613" s="187"/>
    </row>
    <row r="614" spans="2:57" x14ac:dyDescent="0.3">
      <c r="B614" s="223" t="s">
        <v>705</v>
      </c>
      <c r="C614" s="223" t="s">
        <v>709</v>
      </c>
      <c r="D614" s="223" t="s">
        <v>92</v>
      </c>
      <c r="E614" s="223">
        <v>0</v>
      </c>
      <c r="F614" s="224"/>
      <c r="G614" s="225"/>
      <c r="H614" s="226">
        <f ca="1">IF(AND(E614&gt;=2018,SUMIF('DADOS BASE'!$C$101:$D$104,D614,'DADOS BASE'!$H$101:$H$104)&gt;J614),
SUMIF('DADOS BASE'!$C$101:$D$104,D614,'DADOS BASE'!$H$101:$H$104),
J614)</f>
        <v>8178410.4296974735</v>
      </c>
      <c r="I614" s="225"/>
      <c r="J614" s="226">
        <f t="shared" si="420"/>
        <v>8178410.4296974735</v>
      </c>
      <c r="K614" s="226"/>
      <c r="L614" s="227">
        <v>3781.7188801008001</v>
      </c>
      <c r="M614" s="226">
        <f t="shared" si="421"/>
        <v>2.9503218110503411E-3</v>
      </c>
      <c r="N614" s="226">
        <f>L614*'DADOS BASE'!$I$29</f>
        <v>3723995.2175741438</v>
      </c>
      <c r="O614" s="228"/>
      <c r="P614" s="227">
        <v>0</v>
      </c>
      <c r="Q614" s="226">
        <f>P614*'DADOS BASE'!$I$33</f>
        <v>0</v>
      </c>
      <c r="R614" s="226"/>
      <c r="S614" s="227">
        <v>5654.3259064884996</v>
      </c>
      <c r="T614" s="226">
        <f>S614*'DADOS BASE'!$I$37</f>
        <v>4454415.2121233298</v>
      </c>
      <c r="U614" s="226"/>
      <c r="V614" s="226">
        <f t="shared" si="422"/>
        <v>4454415.2121233298</v>
      </c>
      <c r="W614" s="228"/>
      <c r="X614" s="226"/>
      <c r="Y614" s="226"/>
      <c r="Z614" s="224"/>
      <c r="AA614" s="226"/>
      <c r="AB614" s="226"/>
      <c r="AC614" s="226"/>
      <c r="AD614" s="226"/>
      <c r="AE614" s="227">
        <v>1882</v>
      </c>
      <c r="AF614" s="227">
        <v>1459.1518604245</v>
      </c>
      <c r="AG614" s="226" t="s">
        <v>155</v>
      </c>
      <c r="AH614" s="229">
        <v>0.77800000000000002</v>
      </c>
      <c r="AI614" s="225">
        <f t="shared" si="423"/>
        <v>1135.220147410261</v>
      </c>
      <c r="AJ614" s="226">
        <f t="shared" si="424"/>
        <v>7.5091820092894626E-2</v>
      </c>
      <c r="AK614" s="226"/>
      <c r="AL614" s="226">
        <f t="shared" si="425"/>
        <v>166.18414829759868</v>
      </c>
      <c r="AM614" s="228">
        <f t="shared" si="426"/>
        <v>242487.90916150212</v>
      </c>
      <c r="AN614" s="226"/>
      <c r="AO614" s="227">
        <v>1.2950347944539999</v>
      </c>
      <c r="AP614" s="225"/>
      <c r="AQ614" s="226">
        <f t="shared" si="427"/>
        <v>1889.6524296420139</v>
      </c>
      <c r="AR614" s="226">
        <f t="shared" si="428"/>
        <v>2.0105706109192971E-3</v>
      </c>
      <c r="AS614" s="228">
        <f>AR614*'DADOS BASE'!W$38</f>
        <v>603120.45195002458</v>
      </c>
      <c r="AT614" s="225"/>
      <c r="AU614" s="227">
        <v>5654.3259064884996</v>
      </c>
      <c r="AV614" s="227">
        <v>31194.75</v>
      </c>
      <c r="AW614" s="226">
        <f t="shared" si="429"/>
        <v>1413.5814766221249</v>
      </c>
      <c r="AX614" s="226">
        <f>IF($AW$11&gt;0,(AW614/$AW$11)*'DADOS BASE'!W$40,0)</f>
        <v>253987.19445351188</v>
      </c>
      <c r="AY614" s="226">
        <f t="shared" si="430"/>
        <v>1830.6371970213152</v>
      </c>
      <c r="AZ614" s="226">
        <f t="shared" si="431"/>
        <v>9.5742902929594517E-2</v>
      </c>
      <c r="BA614" s="226">
        <f>AZ614*'DADOS BASE'!W$41</f>
        <v>707334.56636207027</v>
      </c>
      <c r="BB614" s="225"/>
      <c r="BC614" s="227">
        <v>0</v>
      </c>
      <c r="BD614" s="226">
        <f>IF($BC$11&gt;0,(BC614/$BC$11)*'DADOS BASE'!W$39,0)</f>
        <v>0</v>
      </c>
      <c r="BE614" s="187"/>
    </row>
    <row r="615" spans="2:57" x14ac:dyDescent="0.3">
      <c r="B615" s="184" t="s">
        <v>705</v>
      </c>
      <c r="C615" s="184" t="s">
        <v>710</v>
      </c>
      <c r="D615" s="184" t="s">
        <v>94</v>
      </c>
      <c r="E615" s="184">
        <v>0</v>
      </c>
      <c r="F615" s="185"/>
      <c r="H615" s="186">
        <f ca="1">IF(AND(E615&gt;=2018,SUMIF('DADOS BASE'!$C$101:$D$104,D615,'DADOS BASE'!$H$101:$H$104)&gt;J615),
SUMIF('DADOS BASE'!$C$101:$D$104,D615,'DADOS BASE'!$H$101:$H$104),
J615)</f>
        <v>1402183.4214745453</v>
      </c>
      <c r="J615" s="186">
        <f t="shared" si="420"/>
        <v>1402183.4214745453</v>
      </c>
      <c r="K615" s="186"/>
      <c r="L615" s="188">
        <v>1385.317918404</v>
      </c>
      <c r="M615" s="186">
        <f t="shared" si="421"/>
        <v>1.0807608390492624E-3</v>
      </c>
      <c r="N615" s="186">
        <f>L615*'DADOS BASE'!$I$29</f>
        <v>1364172.6068276009</v>
      </c>
      <c r="O615" s="187"/>
      <c r="P615" s="188">
        <v>0</v>
      </c>
      <c r="Q615" s="186">
        <f>P615*'DADOS BASE'!$I$33</f>
        <v>0</v>
      </c>
      <c r="R615" s="186"/>
      <c r="S615" s="188">
        <v>48.25</v>
      </c>
      <c r="T615" s="186">
        <f>S615*'DADOS BASE'!$I$37</f>
        <v>38010.814646944476</v>
      </c>
      <c r="U615" s="186"/>
      <c r="V615" s="186">
        <f t="shared" si="422"/>
        <v>38010.814646944476</v>
      </c>
      <c r="W615" s="187"/>
      <c r="X615" s="186"/>
      <c r="Y615" s="186"/>
      <c r="Z615" s="185"/>
      <c r="AA615" s="186"/>
      <c r="AB615" s="186"/>
      <c r="AC615" s="186"/>
      <c r="AD615" s="186"/>
      <c r="AE615" s="188">
        <v>1190</v>
      </c>
      <c r="AF615" s="188">
        <v>744.86668174977001</v>
      </c>
      <c r="AG615" s="186" t="s">
        <v>155</v>
      </c>
      <c r="AH615" s="189">
        <v>0.75</v>
      </c>
      <c r="AI615" s="183">
        <f t="shared" si="423"/>
        <v>558.65001131232748</v>
      </c>
      <c r="AJ615" s="186">
        <f t="shared" si="424"/>
        <v>3.7325586326660193E-2</v>
      </c>
      <c r="AK615" s="186"/>
      <c r="AL615" s="186">
        <f t="shared" si="425"/>
        <v>172.96984825051729</v>
      </c>
      <c r="AM615" s="187">
        <f t="shared" si="426"/>
        <v>128839.47690912407</v>
      </c>
      <c r="AN615" s="186"/>
      <c r="AO615" s="188">
        <v>1.3100616016427</v>
      </c>
      <c r="AQ615" s="186">
        <f t="shared" si="427"/>
        <v>975.82123810338703</v>
      </c>
      <c r="AR615" s="186">
        <f t="shared" si="428"/>
        <v>1.0382636891659678E-3</v>
      </c>
      <c r="AS615" s="187">
        <f>AR615*'DADOS BASE'!W$38</f>
        <v>311452.9089663559</v>
      </c>
      <c r="AU615" s="188">
        <v>48.25</v>
      </c>
      <c r="AV615" s="188">
        <v>299.5</v>
      </c>
      <c r="AW615" s="186">
        <f t="shared" si="429"/>
        <v>12.0625</v>
      </c>
      <c r="AX615" s="186">
        <f>IF($AW$11&gt;0,(AW615/$AW$11)*'DADOS BASE'!W$40,0)</f>
        <v>2167.346264621769</v>
      </c>
      <c r="AY615" s="186">
        <f t="shared" si="430"/>
        <v>15.802618069815068</v>
      </c>
      <c r="AZ615" s="186">
        <f t="shared" si="431"/>
        <v>8.264819104263747E-4</v>
      </c>
      <c r="BA615" s="186">
        <f>AZ615*'DADOS BASE'!W$41</f>
        <v>6105.9274978055128</v>
      </c>
      <c r="BC615" s="188">
        <v>0</v>
      </c>
      <c r="BD615" s="186">
        <f>IF($BC$11&gt;0,(BC615/$BC$11)*'DADOS BASE'!W$39,0)</f>
        <v>0</v>
      </c>
      <c r="BE615" s="187"/>
    </row>
    <row r="616" spans="2:57" x14ac:dyDescent="0.3">
      <c r="B616" s="223" t="s">
        <v>705</v>
      </c>
      <c r="C616" s="223" t="s">
        <v>711</v>
      </c>
      <c r="D616" s="223" t="s">
        <v>94</v>
      </c>
      <c r="E616" s="223">
        <v>0</v>
      </c>
      <c r="F616" s="224"/>
      <c r="G616" s="225"/>
      <c r="H616" s="226">
        <f ca="1">IF(AND(E616&gt;=2018,SUMIF('DADOS BASE'!$C$101:$D$104,D616,'DADOS BASE'!$H$101:$H$104)&gt;J616),
SUMIF('DADOS BASE'!$C$101:$D$104,D616,'DADOS BASE'!$H$101:$H$104),
J616)</f>
        <v>3198067.3333343635</v>
      </c>
      <c r="I616" s="225"/>
      <c r="J616" s="226">
        <f t="shared" si="420"/>
        <v>3198067.3333343635</v>
      </c>
      <c r="K616" s="226"/>
      <c r="L616" s="227">
        <v>3247.6388683932</v>
      </c>
      <c r="M616" s="226">
        <f t="shared" si="421"/>
        <v>2.5336573372106161E-3</v>
      </c>
      <c r="N616" s="226">
        <f>L616*'DADOS BASE'!$I$29</f>
        <v>3198067.3333343635</v>
      </c>
      <c r="O616" s="228"/>
      <c r="P616" s="227">
        <v>0</v>
      </c>
      <c r="Q616" s="226">
        <f>P616*'DADOS BASE'!$I$33</f>
        <v>0</v>
      </c>
      <c r="R616" s="226"/>
      <c r="S616" s="227">
        <v>0</v>
      </c>
      <c r="T616" s="226">
        <f>S616*'DADOS BASE'!$I$37</f>
        <v>0</v>
      </c>
      <c r="U616" s="226"/>
      <c r="V616" s="226">
        <f t="shared" si="422"/>
        <v>0</v>
      </c>
      <c r="W616" s="228"/>
      <c r="X616" s="226"/>
      <c r="Y616" s="226"/>
      <c r="Z616" s="224"/>
      <c r="AA616" s="226"/>
      <c r="AB616" s="226"/>
      <c r="AC616" s="226"/>
      <c r="AD616" s="226"/>
      <c r="AE616" s="227">
        <v>1779</v>
      </c>
      <c r="AF616" s="227">
        <v>1341.8283932234001</v>
      </c>
      <c r="AG616" s="226" t="s">
        <v>155</v>
      </c>
      <c r="AH616" s="229">
        <v>0.78200000000000003</v>
      </c>
      <c r="AI616" s="225">
        <f t="shared" si="423"/>
        <v>1049.309803500699</v>
      </c>
      <c r="AJ616" s="226">
        <f t="shared" si="424"/>
        <v>8.0486996345213835E-2</v>
      </c>
      <c r="AK616" s="226"/>
      <c r="AL616" s="226">
        <f t="shared" si="425"/>
        <v>165.21476259003887</v>
      </c>
      <c r="AM616" s="228">
        <f t="shared" si="426"/>
        <v>221689.85942297737</v>
      </c>
      <c r="AN616" s="226"/>
      <c r="AO616" s="227">
        <v>1.3034825870647</v>
      </c>
      <c r="AP616" s="225"/>
      <c r="AQ616" s="226">
        <f t="shared" si="427"/>
        <v>1749.049945395707</v>
      </c>
      <c r="AR616" s="226">
        <f t="shared" si="428"/>
        <v>1.8609710241310417E-3</v>
      </c>
      <c r="AS616" s="228">
        <f>AR616*'DADOS BASE'!W$38</f>
        <v>558244.35065556923</v>
      </c>
      <c r="AT616" s="225"/>
      <c r="AU616" s="227">
        <v>0</v>
      </c>
      <c r="AV616" s="227">
        <v>0</v>
      </c>
      <c r="AW616" s="226">
        <f t="shared" si="429"/>
        <v>0</v>
      </c>
      <c r="AX616" s="226">
        <f>IF($AW$11&gt;0,(AW616/$AW$11)*'DADOS BASE'!W$40,0)</f>
        <v>0</v>
      </c>
      <c r="AY616" s="226">
        <f t="shared" si="430"/>
        <v>0</v>
      </c>
      <c r="AZ616" s="226">
        <f t="shared" si="431"/>
        <v>0</v>
      </c>
      <c r="BA616" s="226">
        <f>AZ616*'DADOS BASE'!W$41</f>
        <v>0</v>
      </c>
      <c r="BB616" s="225"/>
      <c r="BC616" s="227">
        <v>0</v>
      </c>
      <c r="BD616" s="226">
        <f>IF($BC$11&gt;0,(BC616/$BC$11)*'DADOS BASE'!W$39,0)</f>
        <v>0</v>
      </c>
      <c r="BE616" s="187"/>
    </row>
    <row r="617" spans="2:57" x14ac:dyDescent="0.3">
      <c r="B617" s="184" t="s">
        <v>705</v>
      </c>
      <c r="C617" s="184" t="s">
        <v>712</v>
      </c>
      <c r="D617" s="184" t="s">
        <v>94</v>
      </c>
      <c r="E617" s="184">
        <v>0</v>
      </c>
      <c r="F617" s="185"/>
      <c r="H617" s="186">
        <f ca="1">IF(AND(E617&gt;=2018,SUMIF('DADOS BASE'!$C$101:$D$104,D617,'DADOS BASE'!$H$101:$H$104)&gt;J617),
SUMIF('DADOS BASE'!$C$101:$D$104,D617,'DADOS BASE'!$H$101:$H$104),
J617)</f>
        <v>1258676.8683646386</v>
      </c>
      <c r="J617" s="186">
        <f t="shared" si="420"/>
        <v>1258676.8683646386</v>
      </c>
      <c r="K617" s="186"/>
      <c r="L617" s="188">
        <v>1276.4669467977999</v>
      </c>
      <c r="M617" s="186">
        <f t="shared" si="421"/>
        <v>9.9584035556921232E-4</v>
      </c>
      <c r="N617" s="186">
        <f>L617*'DADOS BASE'!$I$29</f>
        <v>1256983.1222197488</v>
      </c>
      <c r="O617" s="187"/>
      <c r="P617" s="188">
        <v>0</v>
      </c>
      <c r="Q617" s="186">
        <f>P617*'DADOS BASE'!$I$33</f>
        <v>0</v>
      </c>
      <c r="R617" s="186"/>
      <c r="S617" s="188">
        <v>2.15</v>
      </c>
      <c r="T617" s="186">
        <f>S617*'DADOS BASE'!$I$37</f>
        <v>1693.7461448897539</v>
      </c>
      <c r="U617" s="186"/>
      <c r="V617" s="186">
        <f t="shared" si="422"/>
        <v>1693.7461448897539</v>
      </c>
      <c r="W617" s="187"/>
      <c r="X617" s="186"/>
      <c r="Y617" s="186"/>
      <c r="Z617" s="185"/>
      <c r="AA617" s="186"/>
      <c r="AB617" s="186"/>
      <c r="AC617" s="186"/>
      <c r="AD617" s="186"/>
      <c r="AE617" s="188">
        <v>1321</v>
      </c>
      <c r="AF617" s="188">
        <v>627.09445630559003</v>
      </c>
      <c r="AG617" s="186" t="s">
        <v>155</v>
      </c>
      <c r="AH617" s="189">
        <v>0.77600000000000002</v>
      </c>
      <c r="AI617" s="183">
        <f t="shared" si="423"/>
        <v>486.62529809313787</v>
      </c>
      <c r="AJ617" s="186">
        <f t="shared" si="424"/>
        <v>7.2394231966735029E-2</v>
      </c>
      <c r="AK617" s="186"/>
      <c r="AL617" s="186">
        <f t="shared" si="425"/>
        <v>166.66884115137859</v>
      </c>
      <c r="AM617" s="187">
        <f t="shared" si="426"/>
        <v>104517.1063249065</v>
      </c>
      <c r="AN617" s="186"/>
      <c r="AO617" s="188">
        <v>1.2540322580645</v>
      </c>
      <c r="AQ617" s="186">
        <f t="shared" si="427"/>
        <v>786.39667706062903</v>
      </c>
      <c r="AR617" s="186">
        <f t="shared" si="428"/>
        <v>8.3671791839636217E-4</v>
      </c>
      <c r="AS617" s="187">
        <f>AR617*'DADOS BASE'!W$38</f>
        <v>250994.26319932105</v>
      </c>
      <c r="AU617" s="188">
        <v>2.15</v>
      </c>
      <c r="AV617" s="188">
        <v>10.75</v>
      </c>
      <c r="AW617" s="186">
        <f t="shared" si="429"/>
        <v>0.53749999999999998</v>
      </c>
      <c r="AX617" s="186">
        <f>IF($AW$11&gt;0,(AW617/$AW$11)*'DADOS BASE'!W$40,0)</f>
        <v>96.57605116967467</v>
      </c>
      <c r="AY617" s="186">
        <f t="shared" si="430"/>
        <v>0.67404233870966879</v>
      </c>
      <c r="AZ617" s="186">
        <f t="shared" si="431"/>
        <v>3.525262695990399E-5</v>
      </c>
      <c r="BA617" s="186">
        <f>AZ617*'DADOS BASE'!W$41</f>
        <v>260.44125298920596</v>
      </c>
      <c r="BC617" s="188">
        <v>0</v>
      </c>
      <c r="BD617" s="186">
        <f>IF($BC$11&gt;0,(BC617/$BC$11)*'DADOS BASE'!W$39,0)</f>
        <v>0</v>
      </c>
      <c r="BE617" s="187"/>
    </row>
    <row r="618" spans="2:57" x14ac:dyDescent="0.3">
      <c r="B618" s="223" t="s">
        <v>705</v>
      </c>
      <c r="C618" s="223" t="s">
        <v>713</v>
      </c>
      <c r="D618" s="223" t="s">
        <v>94</v>
      </c>
      <c r="E618" s="223">
        <v>0</v>
      </c>
      <c r="F618" s="224"/>
      <c r="G618" s="225"/>
      <c r="H618" s="226">
        <f ca="1">IF(AND(E618&gt;=2018,SUMIF('DADOS BASE'!$C$101:$D$104,D618,'DADOS BASE'!$H$101:$H$104)&gt;J618),
SUMIF('DADOS BASE'!$C$101:$D$104,D618,'DADOS BASE'!$H$101:$H$104),
J618)</f>
        <v>2114790.4230352938</v>
      </c>
      <c r="I618" s="225"/>
      <c r="J618" s="226">
        <f t="shared" si="420"/>
        <v>2114790.4230352938</v>
      </c>
      <c r="K618" s="226"/>
      <c r="L618" s="227">
        <v>1535.7206608073</v>
      </c>
      <c r="M618" s="226">
        <f t="shared" si="421"/>
        <v>1.1980980884384645E-3</v>
      </c>
      <c r="N618" s="226">
        <f>L618*'DADOS BASE'!$I$29</f>
        <v>1512279.621435994</v>
      </c>
      <c r="O618" s="228"/>
      <c r="P618" s="227">
        <v>0</v>
      </c>
      <c r="Q618" s="226">
        <f>P618*'DADOS BASE'!$I$33</f>
        <v>0</v>
      </c>
      <c r="R618" s="226"/>
      <c r="S618" s="227">
        <v>764.8125</v>
      </c>
      <c r="T618" s="226">
        <f>S618*'DADOS BASE'!$I$37</f>
        <v>602510.8015993</v>
      </c>
      <c r="U618" s="226"/>
      <c r="V618" s="226">
        <f t="shared" si="422"/>
        <v>602510.8015993</v>
      </c>
      <c r="W618" s="228"/>
      <c r="X618" s="226"/>
      <c r="Y618" s="226"/>
      <c r="Z618" s="224"/>
      <c r="AA618" s="226"/>
      <c r="AB618" s="226"/>
      <c r="AC618" s="226"/>
      <c r="AD618" s="226"/>
      <c r="AE618" s="227">
        <v>1274</v>
      </c>
      <c r="AF618" s="227">
        <v>765.28487471133997</v>
      </c>
      <c r="AG618" s="226" t="s">
        <v>155</v>
      </c>
      <c r="AH618" s="229">
        <v>0.77700000000000002</v>
      </c>
      <c r="AI618" s="225">
        <f t="shared" si="423"/>
        <v>594.62634765071118</v>
      </c>
      <c r="AJ618" s="226">
        <f t="shared" si="424"/>
        <v>7.3743026029814834E-2</v>
      </c>
      <c r="AK618" s="226"/>
      <c r="AL618" s="226">
        <f t="shared" si="425"/>
        <v>166.42649472448863</v>
      </c>
      <c r="AM618" s="228">
        <f t="shared" si="426"/>
        <v>127363.67916387776</v>
      </c>
      <c r="AN618" s="226"/>
      <c r="AO618" s="227">
        <v>1.3338983050847</v>
      </c>
      <c r="AP618" s="225"/>
      <c r="AQ618" s="226">
        <f t="shared" si="427"/>
        <v>1020.8121972844134</v>
      </c>
      <c r="AR618" s="226">
        <f t="shared" si="428"/>
        <v>1.0861336036896551E-3</v>
      </c>
      <c r="AS618" s="228">
        <f>AR618*'DADOS BASE'!W$38</f>
        <v>325812.67545530025</v>
      </c>
      <c r="AT618" s="225"/>
      <c r="AU618" s="227">
        <v>764.8125</v>
      </c>
      <c r="AV618" s="227">
        <v>4050.5</v>
      </c>
      <c r="AW618" s="226">
        <f t="shared" si="429"/>
        <v>191.203125</v>
      </c>
      <c r="AX618" s="226">
        <f>IF($AW$11&gt;0,(AW618/$AW$11)*'DADOS BASE'!W$40,0)</f>
        <v>34354.684248933401</v>
      </c>
      <c r="AY618" s="226">
        <f t="shared" si="430"/>
        <v>255.04552436439803</v>
      </c>
      <c r="AZ618" s="226">
        <f t="shared" si="431"/>
        <v>1.3338961385456745E-2</v>
      </c>
      <c r="BA618" s="226">
        <f>AZ618*'DADOS BASE'!W$41</f>
        <v>98546.296159838035</v>
      </c>
      <c r="BB618" s="225"/>
      <c r="BC618" s="227">
        <v>0</v>
      </c>
      <c r="BD618" s="226">
        <f>IF($BC$11&gt;0,(BC618/$BC$11)*'DADOS BASE'!W$39,0)</f>
        <v>0</v>
      </c>
      <c r="BE618" s="187"/>
    </row>
    <row r="619" spans="2:57" x14ac:dyDescent="0.3">
      <c r="B619" s="184" t="s">
        <v>705</v>
      </c>
      <c r="C619" s="184" t="s">
        <v>714</v>
      </c>
      <c r="D619" s="184" t="s">
        <v>94</v>
      </c>
      <c r="E619" s="184">
        <v>0</v>
      </c>
      <c r="F619" s="185"/>
      <c r="H619" s="186">
        <f ca="1">IF(AND(E619&gt;=2018,SUMIF('DADOS BASE'!$C$101:$D$104,D619,'DADOS BASE'!$H$101:$H$104)&gt;J619),
SUMIF('DADOS BASE'!$C$101:$D$104,D619,'DADOS BASE'!$H$101:$H$104),
J619)</f>
        <v>1768632.137326129</v>
      </c>
      <c r="J619" s="186">
        <f t="shared" si="420"/>
        <v>1768632.137326129</v>
      </c>
      <c r="K619" s="186"/>
      <c r="L619" s="188">
        <v>1339.8467602415999</v>
      </c>
      <c r="M619" s="186">
        <f t="shared" si="421"/>
        <v>1.0452863487569876E-3</v>
      </c>
      <c r="N619" s="186">
        <f>L619*'DADOS BASE'!$I$29</f>
        <v>1319395.5144780444</v>
      </c>
      <c r="O619" s="187"/>
      <c r="P619" s="188">
        <v>0</v>
      </c>
      <c r="Q619" s="186">
        <f>P619*'DADOS BASE'!$I$33</f>
        <v>0</v>
      </c>
      <c r="R619" s="186"/>
      <c r="S619" s="188">
        <v>570.25</v>
      </c>
      <c r="T619" s="186">
        <f>S619*'DADOS BASE'!$I$37</f>
        <v>449236.62284808472</v>
      </c>
      <c r="U619" s="186"/>
      <c r="V619" s="186">
        <f t="shared" si="422"/>
        <v>449236.62284808472</v>
      </c>
      <c r="W619" s="187"/>
      <c r="X619" s="186"/>
      <c r="Y619" s="186"/>
      <c r="Z619" s="185"/>
      <c r="AA619" s="186"/>
      <c r="AB619" s="186"/>
      <c r="AC619" s="186"/>
      <c r="AD619" s="186"/>
      <c r="AE619" s="188">
        <v>1025</v>
      </c>
      <c r="AF619" s="188">
        <v>679.16870049184001</v>
      </c>
      <c r="AG619" s="186" t="s">
        <v>155</v>
      </c>
      <c r="AH619" s="189">
        <v>0.75</v>
      </c>
      <c r="AI619" s="183">
        <f t="shared" si="423"/>
        <v>509.37652536888004</v>
      </c>
      <c r="AJ619" s="186">
        <f t="shared" si="424"/>
        <v>3.7325586326660193E-2</v>
      </c>
      <c r="AK619" s="186"/>
      <c r="AL619" s="186">
        <f t="shared" si="425"/>
        <v>172.96984825051729</v>
      </c>
      <c r="AM619" s="187">
        <f t="shared" si="426"/>
        <v>117475.7070605746</v>
      </c>
      <c r="AN619" s="186"/>
      <c r="AO619" s="188">
        <v>1.2737859811031</v>
      </c>
      <c r="AQ619" s="186">
        <f t="shared" si="427"/>
        <v>865.1155694905159</v>
      </c>
      <c r="AR619" s="186">
        <f t="shared" si="428"/>
        <v>9.2047400452148714E-4</v>
      </c>
      <c r="AS619" s="187">
        <f>AR619*'DADOS BASE'!W$38</f>
        <v>276118.9756779609</v>
      </c>
      <c r="AU619" s="188">
        <v>570.25</v>
      </c>
      <c r="AV619" s="188">
        <v>2906.75</v>
      </c>
      <c r="AW619" s="186">
        <f t="shared" si="429"/>
        <v>142.5625</v>
      </c>
      <c r="AX619" s="186">
        <f>IF($AW$11&gt;0,(AW619/$AW$11)*'DADOS BASE'!W$40,0)</f>
        <v>25615.113106747438</v>
      </c>
      <c r="AY619" s="186">
        <f t="shared" si="430"/>
        <v>181.5941139310107</v>
      </c>
      <c r="AZ619" s="186">
        <f t="shared" si="431"/>
        <v>9.4974294475018498E-3</v>
      </c>
      <c r="BA619" s="186">
        <f>AZ619*'DADOS BASE'!W$41</f>
        <v>70165.619949325352</v>
      </c>
      <c r="BC619" s="188">
        <v>0</v>
      </c>
      <c r="BD619" s="186">
        <f>IF($BC$11&gt;0,(BC619/$BC$11)*'DADOS BASE'!W$39,0)</f>
        <v>0</v>
      </c>
      <c r="BE619" s="187"/>
    </row>
    <row r="620" spans="2:57" x14ac:dyDescent="0.3">
      <c r="B620" s="223" t="s">
        <v>705</v>
      </c>
      <c r="C620" s="223" t="s">
        <v>715</v>
      </c>
      <c r="D620" s="223" t="s">
        <v>92</v>
      </c>
      <c r="E620" s="223">
        <v>0</v>
      </c>
      <c r="F620" s="224"/>
      <c r="G620" s="225"/>
      <c r="H620" s="226">
        <f ca="1">IF(AND(E620&gt;=2018,SUMIF('DADOS BASE'!$C$101:$D$104,D620,'DADOS BASE'!$H$101:$H$104)&gt;J620),
SUMIF('DADOS BASE'!$C$101:$D$104,D620,'DADOS BASE'!$H$101:$H$104),
J620)</f>
        <v>2163205.3107736683</v>
      </c>
      <c r="I620" s="225"/>
      <c r="J620" s="226">
        <f t="shared" si="420"/>
        <v>2163205.3107736683</v>
      </c>
      <c r="K620" s="226"/>
      <c r="L620" s="227">
        <v>2114.9560018835</v>
      </c>
      <c r="M620" s="226">
        <f t="shared" si="421"/>
        <v>1.6499906575822465E-3</v>
      </c>
      <c r="N620" s="226">
        <f>L620*'DADOS BASE'!$I$29</f>
        <v>2082673.5900009449</v>
      </c>
      <c r="O620" s="228"/>
      <c r="P620" s="227">
        <v>0</v>
      </c>
      <c r="Q620" s="226">
        <f>P620*'DADOS BASE'!$I$33</f>
        <v>0</v>
      </c>
      <c r="R620" s="226"/>
      <c r="S620" s="227">
        <v>102.22499999999999</v>
      </c>
      <c r="T620" s="226">
        <f>S620*'DADOS BASE'!$I$37</f>
        <v>80531.720772723289</v>
      </c>
      <c r="U620" s="226"/>
      <c r="V620" s="226">
        <f t="shared" si="422"/>
        <v>80531.720772723289</v>
      </c>
      <c r="W620" s="228"/>
      <c r="X620" s="226"/>
      <c r="Y620" s="226"/>
      <c r="Z620" s="224"/>
      <c r="AA620" s="226"/>
      <c r="AB620" s="226"/>
      <c r="AC620" s="226"/>
      <c r="AD620" s="226"/>
      <c r="AE620" s="227">
        <v>1091</v>
      </c>
      <c r="AF620" s="227">
        <v>808.45535039712001</v>
      </c>
      <c r="AG620" s="226" t="s">
        <v>155</v>
      </c>
      <c r="AH620" s="229">
        <v>0.76500000000000001</v>
      </c>
      <c r="AI620" s="225">
        <f t="shared" si="423"/>
        <v>618.46834305379684</v>
      </c>
      <c r="AJ620" s="226">
        <f t="shared" si="424"/>
        <v>5.7557497272857215E-2</v>
      </c>
      <c r="AK620" s="226"/>
      <c r="AL620" s="226">
        <f t="shared" si="425"/>
        <v>169.33465184716803</v>
      </c>
      <c r="AM620" s="228">
        <f t="shared" si="426"/>
        <v>136899.50529347657</v>
      </c>
      <c r="AN620" s="226"/>
      <c r="AO620" s="227">
        <v>1.2576730906494999</v>
      </c>
      <c r="AP620" s="225"/>
      <c r="AQ620" s="226">
        <f t="shared" si="427"/>
        <v>1016.7725391860704</v>
      </c>
      <c r="AR620" s="226">
        <f t="shared" si="428"/>
        <v>1.081835449318362E-3</v>
      </c>
      <c r="AS620" s="228">
        <f>AR620*'DADOS BASE'!W$38</f>
        <v>324523.33759624342</v>
      </c>
      <c r="AT620" s="225"/>
      <c r="AU620" s="227">
        <v>102.22499999999999</v>
      </c>
      <c r="AV620" s="227">
        <v>430.25</v>
      </c>
      <c r="AW620" s="226">
        <f t="shared" si="429"/>
        <v>25.556249999999999</v>
      </c>
      <c r="AX620" s="226">
        <f>IF($AW$11&gt;0,(AW620/$AW$11)*'DADOS BASE'!W$40,0)</f>
        <v>4591.8543399162763</v>
      </c>
      <c r="AY620" s="226">
        <f t="shared" si="430"/>
        <v>32.141407922911284</v>
      </c>
      <c r="AZ620" s="226">
        <f t="shared" si="431"/>
        <v>1.6810057742686435E-3</v>
      </c>
      <c r="BA620" s="226">
        <f>AZ620*'DADOS BASE'!W$41</f>
        <v>12419.024846873659</v>
      </c>
      <c r="BB620" s="225"/>
      <c r="BC620" s="227">
        <v>0</v>
      </c>
      <c r="BD620" s="226">
        <f>IF($BC$11&gt;0,(BC620/$BC$11)*'DADOS BASE'!W$39,0)</f>
        <v>0</v>
      </c>
      <c r="BE620" s="187"/>
    </row>
    <row r="621" spans="2:57" x14ac:dyDescent="0.3">
      <c r="B621" s="184" t="s">
        <v>705</v>
      </c>
      <c r="C621" s="184" t="s">
        <v>716</v>
      </c>
      <c r="D621" s="184" t="s">
        <v>94</v>
      </c>
      <c r="E621" s="184">
        <v>0</v>
      </c>
      <c r="F621" s="185"/>
      <c r="H621" s="186">
        <f ca="1">IF(AND(E621&gt;=2018,SUMIF('DADOS BASE'!$C$101:$D$104,D621,'DADOS BASE'!$H$101:$H$104)&gt;J621),
SUMIF('DADOS BASE'!$C$101:$D$104,D621,'DADOS BASE'!$H$101:$H$104),
J621)</f>
        <v>1664523.429301739</v>
      </c>
      <c r="J621" s="186">
        <f t="shared" si="420"/>
        <v>1664523.429301739</v>
      </c>
      <c r="K621" s="186"/>
      <c r="L621" s="188">
        <v>1261.9443186926001</v>
      </c>
      <c r="M621" s="186">
        <f t="shared" si="421"/>
        <v>9.8451047415523446E-4</v>
      </c>
      <c r="N621" s="186">
        <f>L621*'DADOS BASE'!$I$29</f>
        <v>1242682.1656111153</v>
      </c>
      <c r="O621" s="187"/>
      <c r="P621" s="188">
        <v>0</v>
      </c>
      <c r="Q621" s="186">
        <f>P621*'DADOS BASE'!$I$33</f>
        <v>0</v>
      </c>
      <c r="R621" s="186"/>
      <c r="S621" s="188">
        <v>535.47500000000002</v>
      </c>
      <c r="T621" s="186">
        <f>S621*'DADOS BASE'!$I$37</f>
        <v>421841.26369062375</v>
      </c>
      <c r="U621" s="186"/>
      <c r="V621" s="186">
        <f t="shared" si="422"/>
        <v>421841.26369062375</v>
      </c>
      <c r="W621" s="187"/>
      <c r="X621" s="186"/>
      <c r="Y621" s="186"/>
      <c r="Z621" s="185"/>
      <c r="AA621" s="186"/>
      <c r="AB621" s="186"/>
      <c r="AC621" s="186"/>
      <c r="AD621" s="186"/>
      <c r="AE621" s="188">
        <v>1059</v>
      </c>
      <c r="AF621" s="188">
        <v>748.21393611046994</v>
      </c>
      <c r="AG621" s="186" t="s">
        <v>155</v>
      </c>
      <c r="AH621" s="189">
        <v>0.751</v>
      </c>
      <c r="AI621" s="183">
        <f t="shared" si="423"/>
        <v>561.90866601896289</v>
      </c>
      <c r="AJ621" s="186">
        <f t="shared" si="424"/>
        <v>3.8674380389739998E-2</v>
      </c>
      <c r="AK621" s="186"/>
      <c r="AL621" s="186">
        <f t="shared" si="425"/>
        <v>172.72750182362734</v>
      </c>
      <c r="AM621" s="187">
        <f t="shared" si="426"/>
        <v>129237.12401398459</v>
      </c>
      <c r="AN621" s="186"/>
      <c r="AO621" s="188">
        <v>1.4194622594968</v>
      </c>
      <c r="AQ621" s="186">
        <f t="shared" si="427"/>
        <v>1062.061444338362</v>
      </c>
      <c r="AR621" s="186">
        <f t="shared" si="428"/>
        <v>1.1300223752691619E-3</v>
      </c>
      <c r="AS621" s="187">
        <f>AR621*'DADOS BASE'!W$38</f>
        <v>338978.1995143934</v>
      </c>
      <c r="AU621" s="188">
        <v>535.47500000000002</v>
      </c>
      <c r="AV621" s="188">
        <v>3676.5</v>
      </c>
      <c r="AW621" s="186">
        <f t="shared" si="429"/>
        <v>133.86875000000001</v>
      </c>
      <c r="AX621" s="186">
        <f>IF($AW$11&gt;0,(AW621/$AW$11)*'DADOS BASE'!W$40,0)</f>
        <v>24053.051627944908</v>
      </c>
      <c r="AY621" s="186">
        <f t="shared" si="430"/>
        <v>190.02163835101226</v>
      </c>
      <c r="AZ621" s="186">
        <f t="shared" si="431"/>
        <v>9.9381916333647225E-3</v>
      </c>
      <c r="BA621" s="186">
        <f>AZ621*'DADOS BASE'!W$41</f>
        <v>73421.906525839266</v>
      </c>
      <c r="BC621" s="188">
        <v>0</v>
      </c>
      <c r="BD621" s="186">
        <f>IF($BC$11&gt;0,(BC621/$BC$11)*'DADOS BASE'!W$39,0)</f>
        <v>0</v>
      </c>
      <c r="BE621" s="187"/>
    </row>
    <row r="622" spans="2:57" x14ac:dyDescent="0.3">
      <c r="B622" s="223" t="s">
        <v>705</v>
      </c>
      <c r="C622" s="223" t="s">
        <v>717</v>
      </c>
      <c r="D622" s="223" t="s">
        <v>94</v>
      </c>
      <c r="E622" s="223">
        <v>0</v>
      </c>
      <c r="F622" s="224"/>
      <c r="G622" s="225"/>
      <c r="H622" s="226">
        <f ca="1">IF(AND(E622&gt;=2018,SUMIF('DADOS BASE'!$C$101:$D$104,D622,'DADOS BASE'!$H$101:$H$104)&gt;J622),
SUMIF('DADOS BASE'!$C$101:$D$104,D622,'DADOS BASE'!$H$101:$H$104),
J622)</f>
        <v>1417335.2347908642</v>
      </c>
      <c r="I622" s="225"/>
      <c r="J622" s="226">
        <f t="shared" si="420"/>
        <v>1417335.2347908642</v>
      </c>
      <c r="K622" s="226"/>
      <c r="L622" s="227">
        <v>1327.4018256653001</v>
      </c>
      <c r="M622" s="226">
        <f t="shared" si="421"/>
        <v>1.0355773875460545E-3</v>
      </c>
      <c r="N622" s="226">
        <f>L622*'DADOS BASE'!$I$29</f>
        <v>1307140.5377559436</v>
      </c>
      <c r="O622" s="228"/>
      <c r="P622" s="227">
        <v>0</v>
      </c>
      <c r="Q622" s="226">
        <f>P622*'DADOS BASE'!$I$33</f>
        <v>0</v>
      </c>
      <c r="R622" s="226"/>
      <c r="S622" s="227">
        <v>139.87845778418</v>
      </c>
      <c r="T622" s="226">
        <f>S622*'DADOS BASE'!$I$37</f>
        <v>110194.69703492049</v>
      </c>
      <c r="U622" s="226"/>
      <c r="V622" s="226">
        <f t="shared" si="422"/>
        <v>110194.69703492049</v>
      </c>
      <c r="W622" s="228"/>
      <c r="X622" s="226"/>
      <c r="Y622" s="226"/>
      <c r="Z622" s="224"/>
      <c r="AA622" s="226"/>
      <c r="AB622" s="226"/>
      <c r="AC622" s="226"/>
      <c r="AD622" s="226"/>
      <c r="AE622" s="227">
        <v>1961</v>
      </c>
      <c r="AF622" s="227">
        <v>760.87107665676001</v>
      </c>
      <c r="AG622" s="226" t="s">
        <v>155</v>
      </c>
      <c r="AH622" s="229">
        <v>0.80500000000000005</v>
      </c>
      <c r="AI622" s="225">
        <f t="shared" si="423"/>
        <v>612.5012167086918</v>
      </c>
      <c r="AJ622" s="226">
        <f t="shared" si="424"/>
        <v>0.11150925979604927</v>
      </c>
      <c r="AK622" s="226"/>
      <c r="AL622" s="226">
        <f t="shared" si="425"/>
        <v>159.64079477157003</v>
      </c>
      <c r="AM622" s="228">
        <f t="shared" si="426"/>
        <v>121466.06339618535</v>
      </c>
      <c r="AN622" s="226"/>
      <c r="AO622" s="227">
        <v>1.3952399531799</v>
      </c>
      <c r="AP622" s="225"/>
      <c r="AQ622" s="226">
        <f t="shared" si="427"/>
        <v>1061.597725370518</v>
      </c>
      <c r="AR622" s="226">
        <f t="shared" si="428"/>
        <v>1.1295289830908716E-3</v>
      </c>
      <c r="AS622" s="228">
        <f>AR622*'DADOS BASE'!W$38</f>
        <v>338830.19431032694</v>
      </c>
      <c r="AT622" s="225"/>
      <c r="AU622" s="227">
        <v>129.01881423264001</v>
      </c>
      <c r="AV622" s="227">
        <v>640</v>
      </c>
      <c r="AW622" s="226">
        <f t="shared" si="429"/>
        <v>32.254703558160003</v>
      </c>
      <c r="AX622" s="226">
        <f>IF($AW$11&gt;0,(AW622/$AW$11)*'DADOS BASE'!W$40,0)</f>
        <v>5795.4081884568341</v>
      </c>
      <c r="AY622" s="226">
        <f t="shared" si="430"/>
        <v>45.00305108231872</v>
      </c>
      <c r="AZ622" s="226">
        <f t="shared" si="431"/>
        <v>2.3536737690684297E-3</v>
      </c>
      <c r="BA622" s="226">
        <f>AZ622*'DADOS BASE'!W$41</f>
        <v>17388.597628234125</v>
      </c>
      <c r="BB622" s="225"/>
      <c r="BC622" s="227">
        <v>0</v>
      </c>
      <c r="BD622" s="226">
        <f>IF($BC$11&gt;0,(BC622/$BC$11)*'DADOS BASE'!W$39,0)</f>
        <v>0</v>
      </c>
      <c r="BE622" s="187"/>
    </row>
    <row r="623" spans="2:57" x14ac:dyDescent="0.3">
      <c r="B623" s="184" t="s">
        <v>705</v>
      </c>
      <c r="C623" s="184" t="s">
        <v>718</v>
      </c>
      <c r="D623" s="184" t="s">
        <v>94</v>
      </c>
      <c r="E623" s="184">
        <v>0</v>
      </c>
      <c r="F623" s="185"/>
      <c r="H623" s="186">
        <f ca="1">IF(AND(E623&gt;=2018,SUMIF('DADOS BASE'!$C$101:$D$104,D623,'DADOS BASE'!$H$101:$H$104)&gt;J623),
SUMIF('DADOS BASE'!$C$101:$D$104,D623,'DADOS BASE'!$H$101:$H$104),
J623)</f>
        <v>1527301.417887225</v>
      </c>
      <c r="J623" s="186">
        <f t="shared" si="420"/>
        <v>1527301.417887225</v>
      </c>
      <c r="K623" s="186"/>
      <c r="L623" s="188">
        <v>1550.5237869573</v>
      </c>
      <c r="M623" s="186">
        <f t="shared" si="421"/>
        <v>1.2096468014276519E-3</v>
      </c>
      <c r="N623" s="186">
        <f>L623*'DADOS BASE'!$I$29</f>
        <v>1526856.7946039471</v>
      </c>
      <c r="O623" s="187"/>
      <c r="P623" s="188">
        <v>0</v>
      </c>
      <c r="Q623" s="186">
        <f>P623*'DADOS BASE'!$I$33</f>
        <v>0</v>
      </c>
      <c r="R623" s="186"/>
      <c r="S623" s="188">
        <v>0.56439393939394</v>
      </c>
      <c r="T623" s="186">
        <f>S623*'DADOS BASE'!$I$37</f>
        <v>444.62328327796621</v>
      </c>
      <c r="U623" s="186"/>
      <c r="V623" s="186">
        <f t="shared" si="422"/>
        <v>444.62328327796621</v>
      </c>
      <c r="W623" s="187"/>
      <c r="X623" s="186"/>
      <c r="Y623" s="186"/>
      <c r="Z623" s="185"/>
      <c r="AA623" s="186"/>
      <c r="AB623" s="186"/>
      <c r="AC623" s="186"/>
      <c r="AD623" s="186"/>
      <c r="AE623" s="188">
        <v>1125</v>
      </c>
      <c r="AF623" s="188">
        <v>769.26781225743002</v>
      </c>
      <c r="AG623" s="186" t="s">
        <v>155</v>
      </c>
      <c r="AH623" s="189">
        <v>0.80500000000000005</v>
      </c>
      <c r="AI623" s="183">
        <f t="shared" si="423"/>
        <v>619.26058886723126</v>
      </c>
      <c r="AJ623" s="186">
        <f t="shared" si="424"/>
        <v>0.11150925979604927</v>
      </c>
      <c r="AK623" s="186"/>
      <c r="AL623" s="186">
        <f t="shared" si="425"/>
        <v>159.64079477157003</v>
      </c>
      <c r="AM623" s="187">
        <f t="shared" si="426"/>
        <v>122806.52494096305</v>
      </c>
      <c r="AN623" s="186"/>
      <c r="AO623" s="188">
        <v>1.4741833508957001</v>
      </c>
      <c r="AQ623" s="186">
        <f t="shared" si="427"/>
        <v>1134.0418012098626</v>
      </c>
      <c r="AR623" s="186">
        <f t="shared" si="428"/>
        <v>1.2066087293621942E-3</v>
      </c>
      <c r="AS623" s="187">
        <f>AR623*'DADOS BASE'!W$38</f>
        <v>361952.17329225258</v>
      </c>
      <c r="AU623" s="188">
        <v>0.56439393939394</v>
      </c>
      <c r="AV623" s="188">
        <v>2.25</v>
      </c>
      <c r="AW623" s="186">
        <f t="shared" si="429"/>
        <v>0.141098484848485</v>
      </c>
      <c r="AX623" s="186">
        <f>IF($AW$11&gt;0,(AW623/$AW$11)*'DADOS BASE'!W$40,0)</f>
        <v>25.352064172448102</v>
      </c>
      <c r="AY623" s="186">
        <f t="shared" si="430"/>
        <v>0.2080050372002458</v>
      </c>
      <c r="AZ623" s="186">
        <f t="shared" si="431"/>
        <v>1.0878729066542587E-5</v>
      </c>
      <c r="BA623" s="186">
        <f>AZ623*'DADOS BASE'!W$41</f>
        <v>80.370459547397175</v>
      </c>
      <c r="BC623" s="188">
        <v>0</v>
      </c>
      <c r="BD623" s="186">
        <f>IF($BC$11&gt;0,(BC623/$BC$11)*'DADOS BASE'!W$39,0)</f>
        <v>0</v>
      </c>
      <c r="BE623" s="187"/>
    </row>
    <row r="624" spans="2:57" x14ac:dyDescent="0.3">
      <c r="B624" s="223" t="s">
        <v>705</v>
      </c>
      <c r="C624" s="223" t="s">
        <v>719</v>
      </c>
      <c r="D624" s="223" t="s">
        <v>94</v>
      </c>
      <c r="E624" s="223">
        <v>0</v>
      </c>
      <c r="F624" s="224"/>
      <c r="G624" s="225"/>
      <c r="H624" s="226">
        <f ca="1">IF(AND(E624&gt;=2018,SUMIF('DADOS BASE'!$C$101:$D$104,D624,'DADOS BASE'!$H$101:$H$104)&gt;J624),
SUMIF('DADOS BASE'!$C$101:$D$104,D624,'DADOS BASE'!$H$101:$H$104),
J624)</f>
        <v>2785489.1585709043</v>
      </c>
      <c r="I624" s="225"/>
      <c r="J624" s="226">
        <f t="shared" si="420"/>
        <v>2785489.1585709043</v>
      </c>
      <c r="K624" s="226"/>
      <c r="L624" s="227">
        <v>2790.0955395185001</v>
      </c>
      <c r="M624" s="226">
        <f t="shared" si="421"/>
        <v>2.176703236316785E-3</v>
      </c>
      <c r="N624" s="226">
        <f>L624*'DADOS BASE'!$I$29</f>
        <v>2747507.8860078822</v>
      </c>
      <c r="O624" s="228"/>
      <c r="P624" s="227">
        <v>0</v>
      </c>
      <c r="Q624" s="226">
        <f>P624*'DADOS BASE'!$I$33</f>
        <v>0</v>
      </c>
      <c r="R624" s="226"/>
      <c r="S624" s="227">
        <v>48.212499999999999</v>
      </c>
      <c r="T624" s="226">
        <f>S624*'DADOS BASE'!$I$37</f>
        <v>37981.272563021979</v>
      </c>
      <c r="U624" s="226"/>
      <c r="V624" s="226">
        <f t="shared" si="422"/>
        <v>37981.272563021979</v>
      </c>
      <c r="W624" s="228"/>
      <c r="X624" s="226"/>
      <c r="Y624" s="226"/>
      <c r="Z624" s="224"/>
      <c r="AA624" s="226"/>
      <c r="AB624" s="226"/>
      <c r="AC624" s="226"/>
      <c r="AD624" s="226"/>
      <c r="AE624" s="227">
        <v>1824</v>
      </c>
      <c r="AF624" s="227">
        <v>1188.5676056140001</v>
      </c>
      <c r="AG624" s="226" t="s">
        <v>155</v>
      </c>
      <c r="AH624" s="229">
        <v>0.74399999999999999</v>
      </c>
      <c r="AI624" s="225">
        <f t="shared" si="423"/>
        <v>884.294298576816</v>
      </c>
      <c r="AJ624" s="226">
        <f t="shared" si="424"/>
        <v>2.9232821948181387E-2</v>
      </c>
      <c r="AK624" s="226"/>
      <c r="AL624" s="226">
        <f t="shared" si="425"/>
        <v>174.423926811857</v>
      </c>
      <c r="AM624" s="228">
        <f t="shared" si="426"/>
        <v>207314.62905256046</v>
      </c>
      <c r="AN624" s="226"/>
      <c r="AO624" s="227">
        <v>1.3077879038939999</v>
      </c>
      <c r="AP624" s="225"/>
      <c r="AQ624" s="226">
        <f t="shared" si="427"/>
        <v>1554.3943375822435</v>
      </c>
      <c r="AR624" s="226">
        <f t="shared" si="428"/>
        <v>1.6538594737839096E-3</v>
      </c>
      <c r="AS624" s="228">
        <f>AR624*'DADOS BASE'!W$38</f>
        <v>496116.11145271012</v>
      </c>
      <c r="AT624" s="225"/>
      <c r="AU624" s="227">
        <v>48.212499999999999</v>
      </c>
      <c r="AV624" s="227">
        <v>382.75</v>
      </c>
      <c r="AW624" s="226">
        <f t="shared" si="429"/>
        <v>12.053125</v>
      </c>
      <c r="AX624" s="226">
        <f>IF($AW$11&gt;0,(AW624/$AW$11)*'DADOS BASE'!W$40,0)</f>
        <v>2165.6617986129954</v>
      </c>
      <c r="AY624" s="226">
        <f t="shared" si="430"/>
        <v>15.762931079122367</v>
      </c>
      <c r="AZ624" s="226">
        <f t="shared" si="431"/>
        <v>8.2440626829278227E-4</v>
      </c>
      <c r="BA624" s="226">
        <f>AZ624*'DADOS BASE'!W$41</f>
        <v>6090.592957243618</v>
      </c>
      <c r="BB624" s="225"/>
      <c r="BC624" s="227">
        <v>0</v>
      </c>
      <c r="BD624" s="226">
        <f>IF($BC$11&gt;0,(BC624/$BC$11)*'DADOS BASE'!W$39,0)</f>
        <v>0</v>
      </c>
      <c r="BE624" s="187"/>
    </row>
    <row r="625" spans="2:57" x14ac:dyDescent="0.3">
      <c r="B625" s="184" t="s">
        <v>705</v>
      </c>
      <c r="C625" s="184" t="s">
        <v>720</v>
      </c>
      <c r="D625" s="184" t="s">
        <v>92</v>
      </c>
      <c r="E625" s="184">
        <v>0</v>
      </c>
      <c r="F625" s="185"/>
      <c r="H625" s="186">
        <f ca="1">IF(AND(E625&gt;=2018,SUMIF('DADOS BASE'!$C$101:$D$104,D625,'DADOS BASE'!$H$101:$H$104)&gt;J625),
SUMIF('DADOS BASE'!$C$101:$D$104,D625,'DADOS BASE'!$H$101:$H$104),
J625)</f>
        <v>1016546.5311058776</v>
      </c>
      <c r="J625" s="186">
        <f t="shared" si="420"/>
        <v>1016546.5311058776</v>
      </c>
      <c r="K625" s="186"/>
      <c r="L625" s="188">
        <v>1007.7190583386</v>
      </c>
      <c r="M625" s="186">
        <f t="shared" si="421"/>
        <v>7.8617570779037813E-4</v>
      </c>
      <c r="N625" s="186">
        <f>L625*'DADOS BASE'!$I$29</f>
        <v>992337.36639124225</v>
      </c>
      <c r="O625" s="187"/>
      <c r="P625" s="188">
        <v>0</v>
      </c>
      <c r="Q625" s="186">
        <f>P625*'DADOS BASE'!$I$33</f>
        <v>0</v>
      </c>
      <c r="R625" s="186"/>
      <c r="S625" s="188">
        <v>30.730522571819002</v>
      </c>
      <c r="T625" s="186">
        <f>S625*'DADOS BASE'!$I$37</f>
        <v>24209.16471463535</v>
      </c>
      <c r="U625" s="186"/>
      <c r="V625" s="186">
        <f t="shared" si="422"/>
        <v>24209.16471463535</v>
      </c>
      <c r="W625" s="187"/>
      <c r="X625" s="186"/>
      <c r="Y625" s="186"/>
      <c r="Z625" s="185"/>
      <c r="AA625" s="186"/>
      <c r="AB625" s="186"/>
      <c r="AC625" s="186"/>
      <c r="AD625" s="186"/>
      <c r="AE625" s="188">
        <v>582</v>
      </c>
      <c r="AF625" s="188">
        <v>465.95738497423002</v>
      </c>
      <c r="AG625" s="186" t="s">
        <v>155</v>
      </c>
      <c r="AH625" s="189">
        <v>0.68799999999999994</v>
      </c>
      <c r="AI625" s="183">
        <f t="shared" si="423"/>
        <v>320.57868086227023</v>
      </c>
      <c r="AJ625" s="186">
        <f t="shared" si="424"/>
        <v>-4.6299645584287487E-2</v>
      </c>
      <c r="AK625" s="186"/>
      <c r="AL625" s="186">
        <f t="shared" si="425"/>
        <v>187.99532671769421</v>
      </c>
      <c r="AM625" s="187">
        <f t="shared" si="426"/>
        <v>87597.8108247528</v>
      </c>
      <c r="AN625" s="186"/>
      <c r="AO625" s="188">
        <v>1.8436952714535999</v>
      </c>
      <c r="AQ625" s="186">
        <f t="shared" si="427"/>
        <v>859.08342737587259</v>
      </c>
      <c r="AR625" s="186">
        <f t="shared" si="428"/>
        <v>9.1405586779626507E-4</v>
      </c>
      <c r="AS625" s="187">
        <f>AR625*'DADOS BASE'!W$38</f>
        <v>274193.6966047613</v>
      </c>
      <c r="AU625" s="188">
        <v>30.730522571819002</v>
      </c>
      <c r="AV625" s="188">
        <v>187</v>
      </c>
      <c r="AW625" s="186">
        <f t="shared" si="429"/>
        <v>7.6826306429547504</v>
      </c>
      <c r="AX625" s="186">
        <f>IF($AW$11&gt;0,(AW625/$AW$11)*'DADOS BASE'!W$40,0)</f>
        <v>1380.387218775272</v>
      </c>
      <c r="AY625" s="186">
        <f t="shared" si="430"/>
        <v>14.164429788740204</v>
      </c>
      <c r="AZ625" s="186">
        <f t="shared" si="431"/>
        <v>7.4080414651413857E-4</v>
      </c>
      <c r="BA625" s="186">
        <f>AZ625*'DADOS BASE'!W$41</f>
        <v>5472.952706678715</v>
      </c>
      <c r="BC625" s="188">
        <v>0</v>
      </c>
      <c r="BD625" s="186">
        <f>IF($BC$11&gt;0,(BC625/$BC$11)*'DADOS BASE'!W$39,0)</f>
        <v>0</v>
      </c>
      <c r="BE625" s="187"/>
    </row>
    <row r="626" spans="2:57" x14ac:dyDescent="0.3">
      <c r="B626" s="223" t="s">
        <v>705</v>
      </c>
      <c r="C626" s="223" t="s">
        <v>721</v>
      </c>
      <c r="D626" s="223" t="s">
        <v>92</v>
      </c>
      <c r="E626" s="223">
        <v>0</v>
      </c>
      <c r="F626" s="224"/>
      <c r="G626" s="225"/>
      <c r="H626" s="226">
        <f ca="1">IF(AND(E626&gt;=2018,SUMIF('DADOS BASE'!$C$101:$D$104,D626,'DADOS BASE'!$H$101:$H$104)&gt;J626),
SUMIF('DADOS BASE'!$C$101:$D$104,D626,'DADOS BASE'!$H$101:$H$104),
J626)</f>
        <v>3517265.576762083</v>
      </c>
      <c r="I626" s="225"/>
      <c r="J626" s="226">
        <f t="shared" si="420"/>
        <v>3517265.576762083</v>
      </c>
      <c r="K626" s="226"/>
      <c r="L626" s="227">
        <v>3571.7848334495002</v>
      </c>
      <c r="M626" s="226">
        <f t="shared" si="421"/>
        <v>2.7865409969934059E-3</v>
      </c>
      <c r="N626" s="226">
        <f>L626*'DADOS BASE'!$I$29</f>
        <v>3517265.576762083</v>
      </c>
      <c r="O626" s="228"/>
      <c r="P626" s="227">
        <v>0</v>
      </c>
      <c r="Q626" s="226">
        <f>P626*'DADOS BASE'!$I$33</f>
        <v>0</v>
      </c>
      <c r="R626" s="226"/>
      <c r="S626" s="227">
        <v>0</v>
      </c>
      <c r="T626" s="226">
        <f>S626*'DADOS BASE'!$I$37</f>
        <v>0</v>
      </c>
      <c r="U626" s="226"/>
      <c r="V626" s="226">
        <f t="shared" si="422"/>
        <v>0</v>
      </c>
      <c r="W626" s="228"/>
      <c r="X626" s="226"/>
      <c r="Y626" s="226"/>
      <c r="Z626" s="224"/>
      <c r="AA626" s="226"/>
      <c r="AB626" s="226"/>
      <c r="AC626" s="226"/>
      <c r="AD626" s="226"/>
      <c r="AE626" s="227">
        <v>1730</v>
      </c>
      <c r="AF626" s="227">
        <v>1157.4316098591</v>
      </c>
      <c r="AG626" s="226" t="s">
        <v>155</v>
      </c>
      <c r="AH626" s="229">
        <v>0.751</v>
      </c>
      <c r="AI626" s="225">
        <f t="shared" si="423"/>
        <v>869.23113900418412</v>
      </c>
      <c r="AJ626" s="226">
        <f t="shared" si="424"/>
        <v>3.8674380389739998E-2</v>
      </c>
      <c r="AK626" s="226"/>
      <c r="AL626" s="226">
        <f t="shared" si="425"/>
        <v>172.72750182362734</v>
      </c>
      <c r="AM626" s="228">
        <f t="shared" si="426"/>
        <v>199920.27050266162</v>
      </c>
      <c r="AN626" s="226"/>
      <c r="AO626" s="227">
        <v>1.8235512630015001</v>
      </c>
      <c r="AP626" s="225"/>
      <c r="AQ626" s="226">
        <f t="shared" si="427"/>
        <v>2110.6358739964212</v>
      </c>
      <c r="AR626" s="226">
        <f t="shared" si="428"/>
        <v>2.245694706625544E-3</v>
      </c>
      <c r="AS626" s="228">
        <f>AR626*'DADOS BASE'!W$38</f>
        <v>673651.74793960107</v>
      </c>
      <c r="AT626" s="225"/>
      <c r="AU626" s="227">
        <v>0</v>
      </c>
      <c r="AV626" s="227">
        <v>0</v>
      </c>
      <c r="AW626" s="226">
        <f t="shared" si="429"/>
        <v>0</v>
      </c>
      <c r="AX626" s="226">
        <f>IF($AW$11&gt;0,(AW626/$AW$11)*'DADOS BASE'!W$40,0)</f>
        <v>0</v>
      </c>
      <c r="AY626" s="226">
        <f t="shared" si="430"/>
        <v>0</v>
      </c>
      <c r="AZ626" s="226">
        <f t="shared" si="431"/>
        <v>0</v>
      </c>
      <c r="BA626" s="226">
        <f>AZ626*'DADOS BASE'!W$41</f>
        <v>0</v>
      </c>
      <c r="BB626" s="225"/>
      <c r="BC626" s="227">
        <v>225.5</v>
      </c>
      <c r="BD626" s="226">
        <f>IF($BC$11&gt;0,(BC626/$BC$11)*'DADOS BASE'!W$39,0)</f>
        <v>1218422.5048219045</v>
      </c>
      <c r="BE626" s="187"/>
    </row>
    <row r="627" spans="2:57" x14ac:dyDescent="0.3">
      <c r="B627" s="184" t="s">
        <v>705</v>
      </c>
      <c r="C627" s="184" t="s">
        <v>722</v>
      </c>
      <c r="D627" s="184" t="s">
        <v>92</v>
      </c>
      <c r="E627" s="184">
        <v>0</v>
      </c>
      <c r="F627" s="185"/>
      <c r="H627" s="186">
        <f ca="1">IF(AND(E627&gt;=2018,SUMIF('DADOS BASE'!$C$101:$D$104,D627,'DADOS BASE'!$H$101:$H$104)&gt;J627),
SUMIF('DADOS BASE'!$C$101:$D$104,D627,'DADOS BASE'!$H$101:$H$104),
J627)</f>
        <v>1284240.4186069339</v>
      </c>
      <c r="J627" s="186">
        <f t="shared" si="420"/>
        <v>1284240.4186069339</v>
      </c>
      <c r="K627" s="186"/>
      <c r="L627" s="188">
        <v>1300.5227439902001</v>
      </c>
      <c r="M627" s="186">
        <f t="shared" si="421"/>
        <v>1.0146075737017908E-3</v>
      </c>
      <c r="N627" s="186">
        <f>L627*'DADOS BASE'!$I$29</f>
        <v>1280671.7348690964</v>
      </c>
      <c r="O627" s="187"/>
      <c r="P627" s="188">
        <v>0</v>
      </c>
      <c r="Q627" s="186">
        <f>P627*'DADOS BASE'!$I$33</f>
        <v>0</v>
      </c>
      <c r="R627" s="186"/>
      <c r="S627" s="188">
        <v>4.53</v>
      </c>
      <c r="T627" s="186">
        <f>S627*'DADOS BASE'!$I$37</f>
        <v>3568.6837378374817</v>
      </c>
      <c r="U627" s="186"/>
      <c r="V627" s="186">
        <f t="shared" si="422"/>
        <v>3568.6837378374817</v>
      </c>
      <c r="W627" s="187"/>
      <c r="X627" s="186"/>
      <c r="Y627" s="186"/>
      <c r="Z627" s="185"/>
      <c r="AA627" s="186"/>
      <c r="AB627" s="186"/>
      <c r="AC627" s="186"/>
      <c r="AD627" s="186"/>
      <c r="AE627" s="188">
        <v>786</v>
      </c>
      <c r="AF627" s="188">
        <v>492.97413498306003</v>
      </c>
      <c r="AG627" s="186" t="s">
        <v>155</v>
      </c>
      <c r="AH627" s="189">
        <v>0.72099999999999997</v>
      </c>
      <c r="AI627" s="183">
        <f t="shared" si="423"/>
        <v>355.43435132278626</v>
      </c>
      <c r="AJ627" s="186">
        <f t="shared" si="424"/>
        <v>-1.7894415026540422E-3</v>
      </c>
      <c r="AK627" s="186"/>
      <c r="AL627" s="186">
        <f t="shared" si="425"/>
        <v>179.99789463032585</v>
      </c>
      <c r="AM627" s="187">
        <f t="shared" si="426"/>
        <v>88734.306404156872</v>
      </c>
      <c r="AN627" s="186"/>
      <c r="AO627" s="188">
        <v>1.4027446300716</v>
      </c>
      <c r="AQ627" s="186">
        <f t="shared" si="427"/>
        <v>691.51682061167958</v>
      </c>
      <c r="AR627" s="186">
        <f t="shared" si="428"/>
        <v>7.3576673396048224E-4</v>
      </c>
      <c r="AS627" s="187">
        <f>AR627*'DADOS BASE'!W$38</f>
        <v>220711.45509937609</v>
      </c>
      <c r="AU627" s="188">
        <v>4.53</v>
      </c>
      <c r="AV627" s="188">
        <v>33.25</v>
      </c>
      <c r="AW627" s="186">
        <f t="shared" si="429"/>
        <v>1.1325000000000001</v>
      </c>
      <c r="AX627" s="186">
        <f>IF($AW$11&gt;0,(AW627/$AW$11)*'DADOS BASE'!W$40,0)</f>
        <v>203.48349385982618</v>
      </c>
      <c r="AY627" s="186">
        <f t="shared" si="430"/>
        <v>1.588608293556087</v>
      </c>
      <c r="AZ627" s="186">
        <f t="shared" si="431"/>
        <v>8.3084714923619172E-5</v>
      </c>
      <c r="BA627" s="186">
        <f>AZ627*'DADOS BASE'!W$41</f>
        <v>613.81772438037024</v>
      </c>
      <c r="BC627" s="188">
        <v>0</v>
      </c>
      <c r="BD627" s="186">
        <f>IF($BC$11&gt;0,(BC627/$BC$11)*'DADOS BASE'!W$39,0)</f>
        <v>0</v>
      </c>
      <c r="BE627" s="187"/>
    </row>
    <row r="628" spans="2:57" x14ac:dyDescent="0.3">
      <c r="B628" s="223" t="s">
        <v>705</v>
      </c>
      <c r="C628" s="223" t="s">
        <v>723</v>
      </c>
      <c r="D628" s="223" t="s">
        <v>94</v>
      </c>
      <c r="E628" s="223">
        <v>0</v>
      </c>
      <c r="F628" s="224"/>
      <c r="G628" s="225"/>
      <c r="H628" s="226">
        <f ca="1">IF(AND(E628&gt;=2018,SUMIF('DADOS BASE'!$C$101:$D$104,D628,'DADOS BASE'!$H$101:$H$104)&gt;J628),
SUMIF('DADOS BASE'!$C$101:$D$104,D628,'DADOS BASE'!$H$101:$H$104),
J628)</f>
        <v>450203.45982408035</v>
      </c>
      <c r="I628" s="225"/>
      <c r="J628" s="226">
        <f t="shared" si="420"/>
        <v>450203.45982408035</v>
      </c>
      <c r="K628" s="226"/>
      <c r="L628" s="227">
        <v>457.18182339999998</v>
      </c>
      <c r="M628" s="226">
        <f t="shared" si="421"/>
        <v>3.5667207107600569E-4</v>
      </c>
      <c r="N628" s="226">
        <f>L628*'DADOS BASE'!$I$29</f>
        <v>450203.45982408035</v>
      </c>
      <c r="O628" s="228"/>
      <c r="P628" s="227">
        <v>0</v>
      </c>
      <c r="Q628" s="226">
        <f>P628*'DADOS BASE'!$I$33</f>
        <v>0</v>
      </c>
      <c r="R628" s="226"/>
      <c r="S628" s="227">
        <v>0</v>
      </c>
      <c r="T628" s="226">
        <f>S628*'DADOS BASE'!$I$37</f>
        <v>0</v>
      </c>
      <c r="U628" s="226"/>
      <c r="V628" s="226">
        <f t="shared" si="422"/>
        <v>0</v>
      </c>
      <c r="W628" s="228"/>
      <c r="X628" s="226"/>
      <c r="Y628" s="226"/>
      <c r="Z628" s="224"/>
      <c r="AA628" s="226"/>
      <c r="AB628" s="226"/>
      <c r="AC628" s="226"/>
      <c r="AD628" s="226"/>
      <c r="AE628" s="227">
        <v>630</v>
      </c>
      <c r="AF628" s="227">
        <v>361.87954730332001</v>
      </c>
      <c r="AG628" s="226" t="s">
        <v>155</v>
      </c>
      <c r="AH628" s="229">
        <v>0.71699999999999997</v>
      </c>
      <c r="AI628" s="225">
        <f t="shared" si="423"/>
        <v>259.46763541648045</v>
      </c>
      <c r="AJ628" s="226">
        <f t="shared" si="424"/>
        <v>-7.184617754973247E-3</v>
      </c>
      <c r="AK628" s="226"/>
      <c r="AL628" s="226">
        <f t="shared" si="425"/>
        <v>180.96728033788565</v>
      </c>
      <c r="AM628" s="228">
        <f t="shared" si="426"/>
        <v>65488.357485387067</v>
      </c>
      <c r="AN628" s="226"/>
      <c r="AO628" s="227">
        <v>1.5952380952381</v>
      </c>
      <c r="AP628" s="225"/>
      <c r="AQ628" s="226">
        <f t="shared" si="427"/>
        <v>577.28403974577407</v>
      </c>
      <c r="AR628" s="226">
        <f t="shared" si="428"/>
        <v>6.1422423841484149E-4</v>
      </c>
      <c r="AS628" s="228">
        <f>AR628*'DADOS BASE'!W$38</f>
        <v>184251.77323269277</v>
      </c>
      <c r="AT628" s="225"/>
      <c r="AU628" s="227">
        <v>0</v>
      </c>
      <c r="AV628" s="227">
        <v>0</v>
      </c>
      <c r="AW628" s="226">
        <f t="shared" si="429"/>
        <v>0</v>
      </c>
      <c r="AX628" s="226">
        <f>IF($AW$11&gt;0,(AW628/$AW$11)*'DADOS BASE'!W$40,0)</f>
        <v>0</v>
      </c>
      <c r="AY628" s="226">
        <f t="shared" si="430"/>
        <v>0</v>
      </c>
      <c r="AZ628" s="226">
        <f t="shared" si="431"/>
        <v>0</v>
      </c>
      <c r="BA628" s="226">
        <f>AZ628*'DADOS BASE'!W$41</f>
        <v>0</v>
      </c>
      <c r="BB628" s="225"/>
      <c r="BC628" s="227">
        <v>0</v>
      </c>
      <c r="BD628" s="226">
        <f>IF($BC$11&gt;0,(BC628/$BC$11)*'DADOS BASE'!W$39,0)</f>
        <v>0</v>
      </c>
      <c r="BE628" s="187"/>
    </row>
    <row r="629" spans="2:57" x14ac:dyDescent="0.3">
      <c r="F629" s="185"/>
      <c r="H629" s="186"/>
      <c r="J629" s="186"/>
      <c r="K629" s="186"/>
      <c r="L629" s="186"/>
      <c r="M629" s="186"/>
      <c r="N629" s="186"/>
      <c r="O629" s="187"/>
      <c r="P629" s="186"/>
      <c r="Q629" s="186"/>
      <c r="R629" s="186"/>
      <c r="S629" s="186"/>
      <c r="T629" s="186"/>
      <c r="U629" s="186"/>
      <c r="V629" s="186"/>
      <c r="W629" s="187"/>
      <c r="X629" s="186"/>
      <c r="Y629" s="186"/>
      <c r="Z629" s="185"/>
      <c r="AA629" s="186"/>
      <c r="AB629" s="186"/>
      <c r="AC629" s="186"/>
      <c r="AD629" s="186"/>
      <c r="AE629" s="186"/>
      <c r="AF629" s="186"/>
      <c r="AG629" s="186"/>
      <c r="AH629" s="185"/>
      <c r="AJ629" s="186"/>
      <c r="AK629" s="186"/>
      <c r="AL629" s="186"/>
      <c r="AM629" s="187"/>
      <c r="AN629" s="186"/>
      <c r="AO629" s="186"/>
      <c r="AQ629" s="186"/>
      <c r="AR629" s="186"/>
      <c r="AS629" s="187"/>
      <c r="AU629" s="186"/>
      <c r="AV629" s="186"/>
      <c r="AW629" s="186"/>
      <c r="AX629" s="186"/>
      <c r="AY629" s="186"/>
      <c r="AZ629" s="186"/>
      <c r="BA629" s="186"/>
      <c r="BC629" s="186"/>
      <c r="BD629" s="186"/>
      <c r="BE629" s="187"/>
    </row>
    <row r="630" spans="2:57" x14ac:dyDescent="0.3">
      <c r="B630" s="209" t="s">
        <v>705</v>
      </c>
      <c r="C630" s="209" t="s">
        <v>724</v>
      </c>
      <c r="D630" s="211" t="s">
        <v>154</v>
      </c>
      <c r="E630" s="211"/>
      <c r="F630" s="210"/>
      <c r="G630" s="211"/>
      <c r="H630" s="212">
        <f ca="1">SUM(H631:H642)</f>
        <v>28384258.180949043</v>
      </c>
      <c r="I630" s="211"/>
      <c r="J630" s="212">
        <f>SUM(J631:J642)</f>
        <v>28384258.180949043</v>
      </c>
      <c r="K630" s="212"/>
      <c r="L630" s="212">
        <f>SUM(L631:L642)</f>
        <v>28074.780442076182</v>
      </c>
      <c r="M630" s="212">
        <f>SUM(M631:M642)</f>
        <v>2.190264260904002E-2</v>
      </c>
      <c r="N630" s="212">
        <f>SUM(N631:N642)</f>
        <v>27646250.664181855</v>
      </c>
      <c r="O630" s="214"/>
      <c r="P630" s="212">
        <f>SUM(P631:P642)</f>
        <v>325.38759689922</v>
      </c>
      <c r="Q630" s="212">
        <f>SUM(Q631:Q642)</f>
        <v>80105.230791133014</v>
      </c>
      <c r="R630" s="212"/>
      <c r="S630" s="212">
        <f>SUM(S631:S642)</f>
        <v>835.12509776994682</v>
      </c>
      <c r="T630" s="212">
        <f>SUM(T631:T642)</f>
        <v>657902.28597605869</v>
      </c>
      <c r="U630" s="212"/>
      <c r="V630" s="212">
        <f>SUM(V631:V642)</f>
        <v>738007.5167671917</v>
      </c>
      <c r="W630" s="214"/>
      <c r="X630" s="212">
        <f>SUMIF(INDICADORES!$D$13:$D$53,C630,INDICADORES!$L$13:$L$53)</f>
        <v>1.7034270892735601E-2</v>
      </c>
      <c r="Y630" s="212">
        <f>X630*'DADOS BASE'!$I$79</f>
        <v>707317.71876083955</v>
      </c>
      <c r="Z630" s="210">
        <f>SUMIF(INDICADORES!$D$13:$D$53,C630,INDICADORES!$R$13:$R$53)</f>
        <v>2.3795059888818842E-2</v>
      </c>
      <c r="AA630" s="212">
        <f>Z630*'DADOS BASE'!$I$84</f>
        <v>988047.42417912767</v>
      </c>
      <c r="AB630" s="212">
        <f>SUMIF(INDICADORES!$D$13:$D$53,C630,INDICADORES!$Z$13:$Z$53)</f>
        <v>7.5724899399841113E-3</v>
      </c>
      <c r="AC630" s="212">
        <f>AB630*'DADOS BASE'!$I$89</f>
        <v>628868.27894384891</v>
      </c>
      <c r="AD630" s="212"/>
      <c r="AE630" s="212">
        <f>SUM(AE631:AE642)</f>
        <v>13730</v>
      </c>
      <c r="AF630" s="212">
        <f>SUM(AF631:AF642)</f>
        <v>11461.175869597841</v>
      </c>
      <c r="AG630" s="212" t="s">
        <v>155</v>
      </c>
      <c r="AH630" s="210"/>
      <c r="AI630" s="211"/>
      <c r="AJ630" s="212"/>
      <c r="AK630" s="212"/>
      <c r="AL630" s="212"/>
      <c r="AM630" s="214">
        <f>SUM(AM631:AM642)</f>
        <v>2022275.6410893982</v>
      </c>
      <c r="AN630" s="212"/>
      <c r="AO630" s="212"/>
      <c r="AP630" s="211"/>
      <c r="AQ630" s="212">
        <f>SUM(AQ631:AQ642)</f>
        <v>16974.02270915838</v>
      </c>
      <c r="AR630" s="212"/>
      <c r="AS630" s="214">
        <f>SUM(AS631:AS642)</f>
        <v>5417599.6004180554</v>
      </c>
      <c r="AT630" s="211"/>
      <c r="AU630" s="212">
        <f t="shared" ref="AU630:BA630" si="432">SUM(AU631:AU642)</f>
        <v>480.13293262114752</v>
      </c>
      <c r="AV630" s="212">
        <f t="shared" si="432"/>
        <v>1349</v>
      </c>
      <c r="AW630" s="212">
        <f t="shared" si="432"/>
        <v>120.03323315528688</v>
      </c>
      <c r="AX630" s="212">
        <f t="shared" si="432"/>
        <v>21567.136125146932</v>
      </c>
      <c r="AY630" s="212">
        <f t="shared" si="432"/>
        <v>201.16752389430553</v>
      </c>
      <c r="AZ630" s="212">
        <f t="shared" si="432"/>
        <v>1.0521124963558314E-2</v>
      </c>
      <c r="BA630" s="212">
        <f t="shared" si="432"/>
        <v>77728.53272698645</v>
      </c>
      <c r="BB630" s="211"/>
      <c r="BC630" s="212">
        <f>SUM(BC631:BC642)</f>
        <v>1130.5</v>
      </c>
      <c r="BD630" s="212">
        <f>SUM(BD631:BD642)</f>
        <v>6108322.1361470642</v>
      </c>
      <c r="BE630" s="187"/>
    </row>
    <row r="631" spans="2:57" x14ac:dyDescent="0.3">
      <c r="B631" s="216" t="s">
        <v>705</v>
      </c>
      <c r="C631" s="218" t="s">
        <v>156</v>
      </c>
      <c r="D631" s="218" t="s">
        <v>157</v>
      </c>
      <c r="E631" s="218"/>
      <c r="F631" s="217"/>
      <c r="G631" s="218"/>
      <c r="H631" s="219"/>
      <c r="I631" s="218"/>
      <c r="J631" s="219"/>
      <c r="K631" s="219"/>
      <c r="L631" s="219">
        <v>0</v>
      </c>
      <c r="M631" s="219">
        <v>0</v>
      </c>
      <c r="N631" s="219">
        <v>0</v>
      </c>
      <c r="O631" s="221"/>
      <c r="P631" s="219"/>
      <c r="Q631" s="219"/>
      <c r="R631" s="219"/>
      <c r="S631" s="219"/>
      <c r="T631" s="219"/>
      <c r="U631" s="219"/>
      <c r="V631" s="219"/>
      <c r="W631" s="221"/>
      <c r="X631" s="219"/>
      <c r="Y631" s="219"/>
      <c r="Z631" s="217"/>
      <c r="AA631" s="219"/>
      <c r="AB631" s="219"/>
      <c r="AC631" s="219"/>
      <c r="AD631" s="219"/>
      <c r="AE631" s="219"/>
      <c r="AF631" s="219"/>
      <c r="AG631" s="219" t="s">
        <v>155</v>
      </c>
      <c r="AH631" s="217"/>
      <c r="AI631" s="218"/>
      <c r="AJ631" s="219"/>
      <c r="AK631" s="219"/>
      <c r="AL631" s="219"/>
      <c r="AM631" s="221"/>
      <c r="AN631" s="219"/>
      <c r="AO631" s="219"/>
      <c r="AP631" s="218"/>
      <c r="AQ631" s="219"/>
      <c r="AR631" s="219"/>
      <c r="AS631" s="221"/>
      <c r="AT631" s="218"/>
      <c r="AU631" s="219"/>
      <c r="AV631" s="219"/>
      <c r="AW631" s="219"/>
      <c r="AX631" s="219"/>
      <c r="AY631" s="219"/>
      <c r="AZ631" s="219"/>
      <c r="BA631" s="219"/>
      <c r="BB631" s="218"/>
      <c r="BC631" s="219"/>
      <c r="BD631" s="219"/>
      <c r="BE631" s="187"/>
    </row>
    <row r="632" spans="2:57" x14ac:dyDescent="0.3">
      <c r="B632" s="223" t="s">
        <v>705</v>
      </c>
      <c r="C632" s="223" t="s">
        <v>725</v>
      </c>
      <c r="D632" s="223" t="s">
        <v>92</v>
      </c>
      <c r="E632" s="223">
        <v>0</v>
      </c>
      <c r="F632" s="224"/>
      <c r="G632" s="225"/>
      <c r="H632" s="226">
        <f ca="1">IF(AND(E632&gt;=2018,SUMIF('DADOS BASE'!$C$101:$D$104,D632,'DADOS BASE'!$H$101:$H$104)&gt;J632),
SUMIF('DADOS BASE'!$C$101:$D$104,D632,'DADOS BASE'!$H$101:$H$104),
J632)</f>
        <v>4627344.7988394611</v>
      </c>
      <c r="I632" s="225"/>
      <c r="J632" s="226">
        <f t="shared" ref="J632:J642" si="433">N632+Q632+T632</f>
        <v>4627344.7988394611</v>
      </c>
      <c r="K632" s="226"/>
      <c r="L632" s="227">
        <v>4363.9872954221</v>
      </c>
      <c r="M632" s="226">
        <f t="shared" ref="M632:M642" si="434">L632/$L$11</f>
        <v>3.4045806441559794E-3</v>
      </c>
      <c r="N632" s="226">
        <f>L632*'DADOS BASE'!$I$29</f>
        <v>4297375.9639354916</v>
      </c>
      <c r="O632" s="228"/>
      <c r="P632" s="227">
        <v>0</v>
      </c>
      <c r="Q632" s="226">
        <f>P632*'DADOS BASE'!$I$33</f>
        <v>0</v>
      </c>
      <c r="R632" s="226"/>
      <c r="S632" s="227">
        <v>418.85438215401001</v>
      </c>
      <c r="T632" s="226">
        <f>S632*'DADOS BASE'!$I$37</f>
        <v>329968.83490396937</v>
      </c>
      <c r="U632" s="226"/>
      <c r="V632" s="226">
        <f t="shared" ref="V632:V642" si="435">T632+Q632</f>
        <v>329968.83490396937</v>
      </c>
      <c r="W632" s="228"/>
      <c r="X632" s="226"/>
      <c r="Y632" s="226"/>
      <c r="Z632" s="224"/>
      <c r="AA632" s="226"/>
      <c r="AB632" s="226"/>
      <c r="AC632" s="226"/>
      <c r="AD632" s="226"/>
      <c r="AE632" s="227">
        <v>1839</v>
      </c>
      <c r="AF632" s="227">
        <v>1392.0661341682001</v>
      </c>
      <c r="AG632" s="226" t="s">
        <v>155</v>
      </c>
      <c r="AH632" s="229">
        <v>0.74</v>
      </c>
      <c r="AI632" s="225">
        <f t="shared" ref="AI632:AI642" si="436">AF632*AH632</f>
        <v>1030.1289392844681</v>
      </c>
      <c r="AJ632" s="226">
        <f t="shared" ref="AJ632:AJ642" si="437">(AH632-$AI$12)*$AJ$12</f>
        <v>2.3837645695862181E-2</v>
      </c>
      <c r="AK632" s="226"/>
      <c r="AL632" s="226">
        <f t="shared" ref="AL632:AL642" si="438">$AL$11-(AJ632*$AL$11)</f>
        <v>175.39331251941678</v>
      </c>
      <c r="AM632" s="228">
        <f t="shared" ref="AM632:AM642" si="439">AF632*AL632</f>
        <v>244159.09051785947</v>
      </c>
      <c r="AN632" s="226"/>
      <c r="AO632" s="227">
        <v>1.8681114551083999</v>
      </c>
      <c r="AP632" s="225"/>
      <c r="AQ632" s="226">
        <f t="shared" ref="AQ632:AQ642" si="440">AF632*AO632</f>
        <v>2600.5346915080813</v>
      </c>
      <c r="AR632" s="226">
        <f t="shared" ref="AR632:AR642" si="441">AQ632/$AQ$11</f>
        <v>2.7669419737749103E-3</v>
      </c>
      <c r="AS632" s="228">
        <f>AR632*'DADOS BASE'!W$38</f>
        <v>830012.77581571171</v>
      </c>
      <c r="AT632" s="225"/>
      <c r="AU632" s="227">
        <v>122.48743524107</v>
      </c>
      <c r="AV632" s="227">
        <v>74.5</v>
      </c>
      <c r="AW632" s="226">
        <f t="shared" ref="AW632:AW642" si="442">AU632/4</f>
        <v>30.621858810267501</v>
      </c>
      <c r="AX632" s="226">
        <f>IF($AW$11&gt;0,(AW632/$AW$11)*'DADOS BASE'!W$40,0)</f>
        <v>5502.0245644110646</v>
      </c>
      <c r="AY632" s="226">
        <f t="shared" ref="AY632:AY642" si="443">AO632*AW632</f>
        <v>57.205045220172799</v>
      </c>
      <c r="AZ632" s="226">
        <f t="shared" ref="AZ632:AZ642" si="444">IF($AY$11&gt;0,AY632/$AY$11,0)</f>
        <v>2.9918419119363592E-3</v>
      </c>
      <c r="BA632" s="226">
        <f>AZ632*'DADOS BASE'!W$41</f>
        <v>22103.290548434328</v>
      </c>
      <c r="BB632" s="225"/>
      <c r="BC632" s="227">
        <v>230</v>
      </c>
      <c r="BD632" s="226">
        <f>IF($BC$11&gt;0,(BC632/$BC$11)*'DADOS BASE'!W$39,0)</f>
        <v>1242736.9228782172</v>
      </c>
      <c r="BE632" s="187"/>
    </row>
    <row r="633" spans="2:57" x14ac:dyDescent="0.3">
      <c r="B633" s="184" t="s">
        <v>705</v>
      </c>
      <c r="C633" s="184" t="s">
        <v>726</v>
      </c>
      <c r="D633" s="184" t="s">
        <v>98</v>
      </c>
      <c r="E633" s="184">
        <v>0</v>
      </c>
      <c r="F633" s="185"/>
      <c r="H633" s="186">
        <f ca="1">IF(AND(E633&gt;=2018,SUMIF('DADOS BASE'!$C$101:$D$104,D633,'DADOS BASE'!$H$101:$H$104)&gt;J633),
SUMIF('DADOS BASE'!$C$101:$D$104,D633,'DADOS BASE'!$H$101:$H$104),
J633)</f>
        <v>669960.57563577732</v>
      </c>
      <c r="J633" s="186">
        <f t="shared" si="433"/>
        <v>669960.57563577732</v>
      </c>
      <c r="K633" s="186"/>
      <c r="L633" s="188">
        <v>598.99837776387994</v>
      </c>
      <c r="M633" s="186">
        <f t="shared" si="434"/>
        <v>4.6731077447339017E-4</v>
      </c>
      <c r="N633" s="186">
        <f>L633*'DADOS BASE'!$I$29</f>
        <v>589855.34484464431</v>
      </c>
      <c r="O633" s="187"/>
      <c r="P633" s="188">
        <v>325.38759689922</v>
      </c>
      <c r="Q633" s="186">
        <f>P633*'DADOS BASE'!$I$33</f>
        <v>80105.230791133014</v>
      </c>
      <c r="R633" s="186"/>
      <c r="S633" s="188">
        <v>0</v>
      </c>
      <c r="T633" s="186">
        <f>S633*'DADOS BASE'!$I$37</f>
        <v>0</v>
      </c>
      <c r="U633" s="186"/>
      <c r="V633" s="186">
        <f t="shared" si="435"/>
        <v>80105.230791133014</v>
      </c>
      <c r="W633" s="187"/>
      <c r="X633" s="186"/>
      <c r="Y633" s="186"/>
      <c r="Z633" s="185"/>
      <c r="AA633" s="186"/>
      <c r="AB633" s="186"/>
      <c r="AC633" s="186"/>
      <c r="AD633" s="186"/>
      <c r="AE633" s="188">
        <v>429</v>
      </c>
      <c r="AF633" s="188">
        <v>410.06126248404001</v>
      </c>
      <c r="AG633" s="186" t="s">
        <v>155</v>
      </c>
      <c r="AH633" s="189">
        <v>0.74399999999999999</v>
      </c>
      <c r="AI633" s="183">
        <f t="shared" si="436"/>
        <v>305.08557928812576</v>
      </c>
      <c r="AJ633" s="186">
        <f t="shared" si="437"/>
        <v>2.9232821948181387E-2</v>
      </c>
      <c r="AK633" s="186"/>
      <c r="AL633" s="186">
        <f t="shared" si="438"/>
        <v>174.423926811857</v>
      </c>
      <c r="AM633" s="187">
        <f t="shared" si="439"/>
        <v>71524.49563589388</v>
      </c>
      <c r="AN633" s="186"/>
      <c r="AO633" s="188">
        <v>1.48828125</v>
      </c>
      <c r="AQ633" s="186">
        <f t="shared" si="440"/>
        <v>610.28648830632517</v>
      </c>
      <c r="AR633" s="186">
        <f t="shared" si="441"/>
        <v>6.4933850182294893E-4</v>
      </c>
      <c r="AS633" s="187">
        <f>AR633*'DADOS BASE'!W$38</f>
        <v>194785.16624141016</v>
      </c>
      <c r="AU633" s="188">
        <v>0</v>
      </c>
      <c r="AV633" s="188">
        <v>34.5</v>
      </c>
      <c r="AW633" s="186">
        <f t="shared" si="442"/>
        <v>0</v>
      </c>
      <c r="AX633" s="186">
        <f>IF($AW$11&gt;0,(AW633/$AW$11)*'DADOS BASE'!W$40,0)</f>
        <v>0</v>
      </c>
      <c r="AY633" s="186">
        <f t="shared" si="443"/>
        <v>0</v>
      </c>
      <c r="AZ633" s="186">
        <f t="shared" si="444"/>
        <v>0</v>
      </c>
      <c r="BA633" s="186">
        <f>AZ633*'DADOS BASE'!W$41</f>
        <v>0</v>
      </c>
      <c r="BC633" s="188">
        <v>0</v>
      </c>
      <c r="BD633" s="186">
        <f>IF($BC$11&gt;0,(BC633/$BC$11)*'DADOS BASE'!W$39,0)</f>
        <v>0</v>
      </c>
      <c r="BE633" s="187"/>
    </row>
    <row r="634" spans="2:57" x14ac:dyDescent="0.3">
      <c r="B634" s="223" t="s">
        <v>705</v>
      </c>
      <c r="C634" s="223" t="s">
        <v>727</v>
      </c>
      <c r="D634" s="223" t="s">
        <v>92</v>
      </c>
      <c r="E634" s="223">
        <v>0</v>
      </c>
      <c r="F634" s="224"/>
      <c r="G634" s="225"/>
      <c r="H634" s="226">
        <f ca="1">IF(AND(E634&gt;=2018,SUMIF('DADOS BASE'!$C$101:$D$104,D634,'DADOS BASE'!$H$101:$H$104)&gt;J634),
SUMIF('DADOS BASE'!$C$101:$D$104,D634,'DADOS BASE'!$H$101:$H$104),
J634)</f>
        <v>3273730.8302831552</v>
      </c>
      <c r="I634" s="225"/>
      <c r="J634" s="226">
        <f t="shared" si="433"/>
        <v>3273730.8302831552</v>
      </c>
      <c r="K634" s="226"/>
      <c r="L634" s="227">
        <v>3292.3986876546001</v>
      </c>
      <c r="M634" s="226">
        <f t="shared" si="434"/>
        <v>2.5685768738584751E-3</v>
      </c>
      <c r="N634" s="226">
        <f>L634*'DADOS BASE'!$I$29</f>
        <v>3242143.9445668976</v>
      </c>
      <c r="O634" s="228"/>
      <c r="P634" s="227">
        <v>0</v>
      </c>
      <c r="Q634" s="226">
        <f>P634*'DADOS BASE'!$I$33</f>
        <v>0</v>
      </c>
      <c r="R634" s="226"/>
      <c r="S634" s="227">
        <v>40.095621468927</v>
      </c>
      <c r="T634" s="226">
        <f>S634*'DADOS BASE'!$I$37</f>
        <v>31586.885716257653</v>
      </c>
      <c r="U634" s="226"/>
      <c r="V634" s="226">
        <f t="shared" si="435"/>
        <v>31586.885716257653</v>
      </c>
      <c r="W634" s="228"/>
      <c r="X634" s="226"/>
      <c r="Y634" s="226"/>
      <c r="Z634" s="224"/>
      <c r="AA634" s="226"/>
      <c r="AB634" s="226"/>
      <c r="AC634" s="226"/>
      <c r="AD634" s="226"/>
      <c r="AE634" s="227">
        <v>1314</v>
      </c>
      <c r="AF634" s="227">
        <v>1235.3838294673999</v>
      </c>
      <c r="AG634" s="226" t="s">
        <v>155</v>
      </c>
      <c r="AH634" s="229">
        <v>0.76</v>
      </c>
      <c r="AI634" s="225">
        <f t="shared" si="436"/>
        <v>938.89171039522398</v>
      </c>
      <c r="AJ634" s="226">
        <f t="shared" si="437"/>
        <v>5.0813526957458208E-2</v>
      </c>
      <c r="AK634" s="226"/>
      <c r="AL634" s="226">
        <f t="shared" si="438"/>
        <v>170.54638398161779</v>
      </c>
      <c r="AM634" s="228">
        <f t="shared" si="439"/>
        <v>210690.24494502862</v>
      </c>
      <c r="AN634" s="226"/>
      <c r="AO634" s="227">
        <v>1.6554659498208</v>
      </c>
      <c r="AP634" s="225"/>
      <c r="AQ634" s="226">
        <f t="shared" si="440"/>
        <v>2045.1358646425062</v>
      </c>
      <c r="AR634" s="226">
        <f t="shared" si="441"/>
        <v>2.1760033751636685E-3</v>
      </c>
      <c r="AS634" s="228">
        <f>AR634*'DADOS BASE'!W$38</f>
        <v>652746.10697379243</v>
      </c>
      <c r="AT634" s="225"/>
      <c r="AU634" s="227">
        <v>27.828248587571</v>
      </c>
      <c r="AV634" s="227">
        <v>106.75</v>
      </c>
      <c r="AW634" s="226">
        <f t="shared" si="442"/>
        <v>6.95706214689275</v>
      </c>
      <c r="AX634" s="226">
        <f>IF($AW$11&gt;0,(AW634/$AW$11)*'DADOS BASE'!W$40,0)</f>
        <v>1250.0197021189229</v>
      </c>
      <c r="AY634" s="226">
        <f t="shared" si="443"/>
        <v>11.51717949496814</v>
      </c>
      <c r="AZ634" s="226">
        <f t="shared" si="444"/>
        <v>6.0235212100118369E-4</v>
      </c>
      <c r="BA634" s="226">
        <f>AZ634*'DADOS BASE'!W$41</f>
        <v>4450.0893880244703</v>
      </c>
      <c r="BB634" s="225"/>
      <c r="BC634" s="227">
        <v>184</v>
      </c>
      <c r="BD634" s="226">
        <f>IF($BC$11&gt;0,(BC634/$BC$11)*'DADOS BASE'!W$39,0)</f>
        <v>994189.53830257384</v>
      </c>
      <c r="BE634" s="187"/>
    </row>
    <row r="635" spans="2:57" x14ac:dyDescent="0.3">
      <c r="B635" s="184" t="s">
        <v>705</v>
      </c>
      <c r="C635" s="184" t="s">
        <v>728</v>
      </c>
      <c r="D635" s="184" t="s">
        <v>92</v>
      </c>
      <c r="E635" s="184">
        <v>0</v>
      </c>
      <c r="F635" s="185"/>
      <c r="H635" s="186">
        <f ca="1">IF(AND(E635&gt;=2018,SUMIF('DADOS BASE'!$C$101:$D$104,D635,'DADOS BASE'!$H$101:$H$104)&gt;J635),
SUMIF('DADOS BASE'!$C$101:$D$104,D635,'DADOS BASE'!$H$101:$H$104),
J635)</f>
        <v>1049935.1017945721</v>
      </c>
      <c r="J635" s="186">
        <f t="shared" si="433"/>
        <v>1049935.1017945721</v>
      </c>
      <c r="K635" s="186"/>
      <c r="L635" s="188">
        <v>1034.8866476477999</v>
      </c>
      <c r="M635" s="186">
        <f t="shared" si="434"/>
        <v>8.0737060192022792E-4</v>
      </c>
      <c r="N635" s="186">
        <f>L635*'DADOS BASE'!$I$29</f>
        <v>1019090.273169385</v>
      </c>
      <c r="O635" s="187"/>
      <c r="P635" s="188">
        <v>0</v>
      </c>
      <c r="Q635" s="186">
        <f>P635*'DADOS BASE'!$I$33</f>
        <v>0</v>
      </c>
      <c r="R635" s="186"/>
      <c r="S635" s="188">
        <v>39.153672316383997</v>
      </c>
      <c r="T635" s="186">
        <f>S635*'DADOS BASE'!$I$37</f>
        <v>30844.828625187012</v>
      </c>
      <c r="U635" s="186"/>
      <c r="V635" s="186">
        <f t="shared" si="435"/>
        <v>30844.828625187012</v>
      </c>
      <c r="W635" s="187"/>
      <c r="X635" s="186"/>
      <c r="Y635" s="186"/>
      <c r="Z635" s="185"/>
      <c r="AA635" s="186"/>
      <c r="AB635" s="186"/>
      <c r="AC635" s="186"/>
      <c r="AD635" s="186"/>
      <c r="AE635" s="188">
        <v>508</v>
      </c>
      <c r="AF635" s="188">
        <v>385.92078625208001</v>
      </c>
      <c r="AG635" s="186" t="s">
        <v>155</v>
      </c>
      <c r="AH635" s="189">
        <v>0.71199999999999997</v>
      </c>
      <c r="AI635" s="183">
        <f t="shared" si="436"/>
        <v>274.77559981148096</v>
      </c>
      <c r="AJ635" s="186">
        <f t="shared" si="437"/>
        <v>-1.3928588070372254E-2</v>
      </c>
      <c r="AK635" s="186"/>
      <c r="AL635" s="186">
        <f t="shared" si="438"/>
        <v>182.17901247233542</v>
      </c>
      <c r="AM635" s="187">
        <f t="shared" si="439"/>
        <v>70306.66773195118</v>
      </c>
      <c r="AN635" s="186"/>
      <c r="AO635" s="188">
        <v>1.3546712802767999</v>
      </c>
      <c r="AQ635" s="186">
        <f t="shared" si="440"/>
        <v>522.79580559753447</v>
      </c>
      <c r="AR635" s="186">
        <f t="shared" si="441"/>
        <v>5.5624932170484417E-4</v>
      </c>
      <c r="AS635" s="187">
        <f>AR635*'DADOS BASE'!W$38</f>
        <v>166860.76106032688</v>
      </c>
      <c r="AU635" s="188">
        <v>24.721468926554</v>
      </c>
      <c r="AV635" s="188">
        <v>65</v>
      </c>
      <c r="AW635" s="186">
        <f t="shared" si="442"/>
        <v>6.1803672316384999</v>
      </c>
      <c r="AX635" s="186">
        <f>IF($AW$11&gt;0,(AW635/$AW$11)*'DADOS BASE'!W$40,0)</f>
        <v>1110.465975832745</v>
      </c>
      <c r="AY635" s="186">
        <f t="shared" si="443"/>
        <v>8.3723659902645089</v>
      </c>
      <c r="AZ635" s="186">
        <f t="shared" si="444"/>
        <v>4.3787738258636502E-4</v>
      </c>
      <c r="BA635" s="186">
        <f>AZ635*'DADOS BASE'!W$41</f>
        <v>3234.9740717517698</v>
      </c>
      <c r="BC635" s="188">
        <v>192.5</v>
      </c>
      <c r="BD635" s="186">
        <f>IF($BC$11&gt;0,(BC635/$BC$11)*'DADOS BASE'!W$39,0)</f>
        <v>1040116.7724089429</v>
      </c>
      <c r="BE635" s="187"/>
    </row>
    <row r="636" spans="2:57" x14ac:dyDescent="0.3">
      <c r="B636" s="223" t="s">
        <v>705</v>
      </c>
      <c r="C636" s="223" t="s">
        <v>729</v>
      </c>
      <c r="D636" s="223" t="s">
        <v>92</v>
      </c>
      <c r="E636" s="223">
        <v>0</v>
      </c>
      <c r="F636" s="224"/>
      <c r="G636" s="225"/>
      <c r="H636" s="226">
        <f ca="1">IF(AND(E636&gt;=2018,SUMIF('DADOS BASE'!$C$101:$D$104,D636,'DADOS BASE'!$H$101:$H$104)&gt;J636),
SUMIF('DADOS BASE'!$C$101:$D$104,D636,'DADOS BASE'!$H$101:$H$104),
J636)</f>
        <v>2791225.3343346482</v>
      </c>
      <c r="I636" s="225"/>
      <c r="J636" s="226">
        <f t="shared" si="433"/>
        <v>2791225.3343346482</v>
      </c>
      <c r="K636" s="226"/>
      <c r="L636" s="227">
        <v>2821.8506286816</v>
      </c>
      <c r="M636" s="226">
        <f t="shared" si="434"/>
        <v>2.2014770852304953E-3</v>
      </c>
      <c r="N636" s="226">
        <f>L636*'DADOS BASE'!$I$29</f>
        <v>2778778.2696419698</v>
      </c>
      <c r="O636" s="228"/>
      <c r="P636" s="227">
        <v>0</v>
      </c>
      <c r="Q636" s="226">
        <f>P636*'DADOS BASE'!$I$33</f>
        <v>0</v>
      </c>
      <c r="R636" s="226"/>
      <c r="S636" s="227">
        <v>15.8</v>
      </c>
      <c r="T636" s="226">
        <f>S636*'DADOS BASE'!$I$37</f>
        <v>12447.064692678192</v>
      </c>
      <c r="U636" s="226"/>
      <c r="V636" s="226">
        <f t="shared" si="435"/>
        <v>12447.064692678192</v>
      </c>
      <c r="W636" s="228"/>
      <c r="X636" s="226"/>
      <c r="Y636" s="226"/>
      <c r="Z636" s="224"/>
      <c r="AA636" s="226"/>
      <c r="AB636" s="226"/>
      <c r="AC636" s="226"/>
      <c r="AD636" s="226"/>
      <c r="AE636" s="227">
        <v>1359</v>
      </c>
      <c r="AF636" s="227">
        <v>1149.9212371348999</v>
      </c>
      <c r="AG636" s="226" t="s">
        <v>155</v>
      </c>
      <c r="AH636" s="229">
        <v>0.71599999999999997</v>
      </c>
      <c r="AI636" s="225">
        <f t="shared" si="436"/>
        <v>823.34360578858832</v>
      </c>
      <c r="AJ636" s="226">
        <f t="shared" si="437"/>
        <v>-8.5334118180530483E-3</v>
      </c>
      <c r="AK636" s="226"/>
      <c r="AL636" s="226">
        <f t="shared" si="438"/>
        <v>181.20962676477561</v>
      </c>
      <c r="AM636" s="228">
        <f t="shared" si="439"/>
        <v>208376.79819010422</v>
      </c>
      <c r="AN636" s="226"/>
      <c r="AO636" s="227">
        <v>1.6805682859761999</v>
      </c>
      <c r="AP636" s="225"/>
      <c r="AQ636" s="226">
        <f t="shared" si="440"/>
        <v>1932.5211624994301</v>
      </c>
      <c r="AR636" s="226">
        <f t="shared" si="441"/>
        <v>2.0561824986180311E-3</v>
      </c>
      <c r="AS636" s="228">
        <f>AR636*'DADOS BASE'!W$38</f>
        <v>616802.8673666988</v>
      </c>
      <c r="AT636" s="225"/>
      <c r="AU636" s="227">
        <v>15.8</v>
      </c>
      <c r="AV636" s="227">
        <v>21.75</v>
      </c>
      <c r="AW636" s="226">
        <f t="shared" si="442"/>
        <v>3.95</v>
      </c>
      <c r="AX636" s="226">
        <f>IF($AW$11&gt;0,(AW636/$AW$11)*'DADOS BASE'!W$40,0)</f>
        <v>709.72167836319068</v>
      </c>
      <c r="AY636" s="226">
        <f t="shared" si="443"/>
        <v>6.6382447296059901</v>
      </c>
      <c r="AZ636" s="226">
        <f t="shared" si="444"/>
        <v>3.4718229357717919E-4</v>
      </c>
      <c r="BA636" s="226">
        <f>AZ636*'DADOS BASE'!W$41</f>
        <v>2564.9320164920036</v>
      </c>
      <c r="BB636" s="225"/>
      <c r="BC636" s="227">
        <v>0</v>
      </c>
      <c r="BD636" s="226">
        <f>IF($BC$11&gt;0,(BC636/$BC$11)*'DADOS BASE'!W$39,0)</f>
        <v>0</v>
      </c>
      <c r="BE636" s="187"/>
    </row>
    <row r="637" spans="2:57" x14ac:dyDescent="0.3">
      <c r="B637" s="184" t="s">
        <v>705</v>
      </c>
      <c r="C637" s="184" t="s">
        <v>730</v>
      </c>
      <c r="D637" s="184" t="s">
        <v>92</v>
      </c>
      <c r="E637" s="184">
        <v>0</v>
      </c>
      <c r="F637" s="185"/>
      <c r="H637" s="186">
        <f ca="1">IF(AND(E637&gt;=2018,SUMIF('DADOS BASE'!$C$101:$D$104,D637,'DADOS BASE'!$H$101:$H$104)&gt;J637),
SUMIF('DADOS BASE'!$C$101:$D$104,D637,'DADOS BASE'!$H$101:$H$104),
J637)</f>
        <v>2410974.5286259204</v>
      </c>
      <c r="J637" s="186">
        <f t="shared" si="433"/>
        <v>2410974.5286259204</v>
      </c>
      <c r="K637" s="186"/>
      <c r="L637" s="188">
        <v>2312.6665095236999</v>
      </c>
      <c r="M637" s="186">
        <f t="shared" si="434"/>
        <v>1.8042352329879069E-3</v>
      </c>
      <c r="N637" s="186">
        <f>L637*'DADOS BASE'!$I$29</f>
        <v>2277366.2703031455</v>
      </c>
      <c r="O637" s="187"/>
      <c r="P637" s="188">
        <v>0</v>
      </c>
      <c r="Q637" s="186">
        <f>P637*'DADOS BASE'!$I$33</f>
        <v>0</v>
      </c>
      <c r="R637" s="186"/>
      <c r="S637" s="188">
        <v>169.59906079235</v>
      </c>
      <c r="T637" s="186">
        <f>S637*'DADOS BASE'!$I$37</f>
        <v>133608.25832277481</v>
      </c>
      <c r="U637" s="186"/>
      <c r="V637" s="186">
        <f t="shared" si="435"/>
        <v>133608.25832277481</v>
      </c>
      <c r="W637" s="187"/>
      <c r="X637" s="186"/>
      <c r="Y637" s="186"/>
      <c r="Z637" s="185"/>
      <c r="AA637" s="186"/>
      <c r="AB637" s="186"/>
      <c r="AC637" s="186"/>
      <c r="AD637" s="186"/>
      <c r="AE637" s="188">
        <v>1175</v>
      </c>
      <c r="AF637" s="188">
        <v>948.71425466947005</v>
      </c>
      <c r="AG637" s="186" t="s">
        <v>155</v>
      </c>
      <c r="AH637" s="189">
        <v>0.76100000000000001</v>
      </c>
      <c r="AI637" s="183">
        <f t="shared" si="436"/>
        <v>721.97154780346671</v>
      </c>
      <c r="AJ637" s="186">
        <f t="shared" si="437"/>
        <v>5.2162321020538006E-2</v>
      </c>
      <c r="AK637" s="186"/>
      <c r="AL637" s="186">
        <f t="shared" si="438"/>
        <v>170.30403755472784</v>
      </c>
      <c r="AM637" s="187">
        <f t="shared" si="439"/>
        <v>161569.86805593505</v>
      </c>
      <c r="AN637" s="186"/>
      <c r="AO637" s="188">
        <v>1.6595251881876001</v>
      </c>
      <c r="AQ637" s="186">
        <f t="shared" si="440"/>
        <v>1574.4152020166111</v>
      </c>
      <c r="AR637" s="186">
        <f t="shared" si="441"/>
        <v>1.6751614661532496E-3</v>
      </c>
      <c r="AS637" s="187">
        <f>AR637*'DADOS BASE'!W$38</f>
        <v>502506.1716651977</v>
      </c>
      <c r="AU637" s="188">
        <v>162.54962431694</v>
      </c>
      <c r="AV637" s="188">
        <v>796.5</v>
      </c>
      <c r="AW637" s="186">
        <f t="shared" si="442"/>
        <v>40.637406079234999</v>
      </c>
      <c r="AX637" s="186">
        <f>IF($AW$11&gt;0,(AW637/$AW$11)*'DADOS BASE'!W$40,0)</f>
        <v>7301.5817840205555</v>
      </c>
      <c r="AY637" s="186">
        <f t="shared" si="443"/>
        <v>67.438798971098393</v>
      </c>
      <c r="AZ637" s="186">
        <f t="shared" si="444"/>
        <v>3.5270704616317985E-3</v>
      </c>
      <c r="BA637" s="186">
        <f>AZ637*'DADOS BASE'!W$41</f>
        <v>26057.480807129741</v>
      </c>
      <c r="BC637" s="188">
        <v>0</v>
      </c>
      <c r="BD637" s="186">
        <f>IF($BC$11&gt;0,(BC637/$BC$11)*'DADOS BASE'!W$39,0)</f>
        <v>0</v>
      </c>
      <c r="BE637" s="187"/>
    </row>
    <row r="638" spans="2:57" x14ac:dyDescent="0.3">
      <c r="B638" s="223" t="s">
        <v>705</v>
      </c>
      <c r="C638" s="223" t="s">
        <v>731</v>
      </c>
      <c r="D638" s="223" t="s">
        <v>94</v>
      </c>
      <c r="E638" s="223">
        <v>0</v>
      </c>
      <c r="F638" s="224"/>
      <c r="G638" s="225"/>
      <c r="H638" s="226">
        <f ca="1">IF(AND(E638&gt;=2018,SUMIF('DADOS BASE'!$C$101:$D$104,D638,'DADOS BASE'!$H$101:$H$104)&gt;J638),
SUMIF('DADOS BASE'!$C$101:$D$104,D638,'DADOS BASE'!$H$101:$H$104),
J638)</f>
        <v>2164881.2093837466</v>
      </c>
      <c r="I638" s="225"/>
      <c r="J638" s="226">
        <f t="shared" si="433"/>
        <v>2164881.2093837466</v>
      </c>
      <c r="K638" s="226"/>
      <c r="L638" s="227">
        <v>2108.4462873818002</v>
      </c>
      <c r="M638" s="226">
        <f t="shared" si="434"/>
        <v>1.6449120800128944E-3</v>
      </c>
      <c r="N638" s="226">
        <f>L638*'DADOS BASE'!$I$29</f>
        <v>2076263.2389302547</v>
      </c>
      <c r="O638" s="228"/>
      <c r="P638" s="227">
        <v>0</v>
      </c>
      <c r="Q638" s="226">
        <f>P638*'DADOS BASE'!$I$33</f>
        <v>0</v>
      </c>
      <c r="R638" s="226"/>
      <c r="S638" s="227">
        <v>112.48948790222001</v>
      </c>
      <c r="T638" s="226">
        <f>S638*'DADOS BASE'!$I$37</f>
        <v>88617.970453491973</v>
      </c>
      <c r="U638" s="226"/>
      <c r="V638" s="226">
        <f t="shared" si="435"/>
        <v>88617.970453491973</v>
      </c>
      <c r="W638" s="228"/>
      <c r="X638" s="226"/>
      <c r="Y638" s="226"/>
      <c r="Z638" s="224"/>
      <c r="AA638" s="226"/>
      <c r="AB638" s="226"/>
      <c r="AC638" s="226"/>
      <c r="AD638" s="226"/>
      <c r="AE638" s="227">
        <v>1191</v>
      </c>
      <c r="AF638" s="227">
        <v>931.56304563032995</v>
      </c>
      <c r="AG638" s="226" t="s">
        <v>155</v>
      </c>
      <c r="AH638" s="229">
        <v>0.76900000000000002</v>
      </c>
      <c r="AI638" s="225">
        <f t="shared" si="436"/>
        <v>716.3719820897237</v>
      </c>
      <c r="AJ638" s="226">
        <f t="shared" si="437"/>
        <v>6.2952673525176417E-2</v>
      </c>
      <c r="AK638" s="226"/>
      <c r="AL638" s="226">
        <f t="shared" si="438"/>
        <v>168.36526613960822</v>
      </c>
      <c r="AM638" s="228">
        <f t="shared" si="439"/>
        <v>156842.86010337449</v>
      </c>
      <c r="AN638" s="226"/>
      <c r="AO638" s="227">
        <v>1.6513877207737999</v>
      </c>
      <c r="AP638" s="225"/>
      <c r="AQ638" s="226">
        <f t="shared" si="440"/>
        <v>1538.3717746805698</v>
      </c>
      <c r="AR638" s="226">
        <f t="shared" si="441"/>
        <v>1.6368116328284099E-3</v>
      </c>
      <c r="AS638" s="228">
        <f>AR638*'DADOS BASE'!W$38</f>
        <v>491002.18932233943</v>
      </c>
      <c r="AT638" s="225"/>
      <c r="AU638" s="227">
        <v>109.33800629459</v>
      </c>
      <c r="AV638" s="227">
        <v>218.25</v>
      </c>
      <c r="AW638" s="226">
        <f t="shared" si="442"/>
        <v>27.334501573647501</v>
      </c>
      <c r="AX638" s="226">
        <f>IF($AW$11&gt;0,(AW638/$AW$11)*'DADOS BASE'!W$40,0)</f>
        <v>4911.364135207692</v>
      </c>
      <c r="AY638" s="226">
        <f t="shared" si="443"/>
        <v>45.139860252193593</v>
      </c>
      <c r="AZ638" s="226">
        <f t="shared" si="444"/>
        <v>2.3608289318131402E-3</v>
      </c>
      <c r="BA638" s="226">
        <f>AZ638*'DADOS BASE'!W$41</f>
        <v>17441.458924292816</v>
      </c>
      <c r="BB638" s="225"/>
      <c r="BC638" s="227">
        <v>0</v>
      </c>
      <c r="BD638" s="226">
        <f>IF($BC$11&gt;0,(BC638/$BC$11)*'DADOS BASE'!W$39,0)</f>
        <v>0</v>
      </c>
      <c r="BE638" s="187"/>
    </row>
    <row r="639" spans="2:57" x14ac:dyDescent="0.3">
      <c r="B639" s="184" t="s">
        <v>705</v>
      </c>
      <c r="C639" s="184" t="s">
        <v>732</v>
      </c>
      <c r="D639" s="184" t="s">
        <v>92</v>
      </c>
      <c r="E639" s="184">
        <v>0</v>
      </c>
      <c r="F639" s="185"/>
      <c r="H639" s="186">
        <f ca="1">IF(AND(E639&gt;=2018,SUMIF('DADOS BASE'!$C$101:$D$104,D639,'DADOS BASE'!$H$101:$H$104)&gt;J639),
SUMIF('DADOS BASE'!$C$101:$D$104,D639,'DADOS BASE'!$H$101:$H$104),
J639)</f>
        <v>1856690.5377269129</v>
      </c>
      <c r="J639" s="186">
        <f t="shared" si="433"/>
        <v>1856690.5377269129</v>
      </c>
      <c r="K639" s="186"/>
      <c r="L639" s="188">
        <v>1885.4701069139001</v>
      </c>
      <c r="M639" s="186">
        <f t="shared" si="434"/>
        <v>1.4709563975742229E-3</v>
      </c>
      <c r="N639" s="186">
        <f>L639*'DADOS BASE'!$I$29</f>
        <v>1856690.5377269129</v>
      </c>
      <c r="O639" s="187"/>
      <c r="P639" s="188">
        <v>0</v>
      </c>
      <c r="Q639" s="186">
        <f>P639*'DADOS BASE'!$I$33</f>
        <v>0</v>
      </c>
      <c r="R639" s="186"/>
      <c r="S639" s="188">
        <v>0</v>
      </c>
      <c r="T639" s="186">
        <f>S639*'DADOS BASE'!$I$37</f>
        <v>0</v>
      </c>
      <c r="U639" s="186"/>
      <c r="V639" s="186">
        <f t="shared" si="435"/>
        <v>0</v>
      </c>
      <c r="W639" s="187"/>
      <c r="X639" s="186"/>
      <c r="Y639" s="186"/>
      <c r="Z639" s="185"/>
      <c r="AA639" s="186"/>
      <c r="AB639" s="186"/>
      <c r="AC639" s="186"/>
      <c r="AD639" s="186"/>
      <c r="AE639" s="188">
        <v>1021</v>
      </c>
      <c r="AF639" s="188">
        <v>874.54674163742004</v>
      </c>
      <c r="AG639" s="186" t="s">
        <v>155</v>
      </c>
      <c r="AH639" s="189">
        <v>0.77200000000000002</v>
      </c>
      <c r="AI639" s="183">
        <f t="shared" si="436"/>
        <v>675.15008454408826</v>
      </c>
      <c r="AJ639" s="186">
        <f t="shared" si="437"/>
        <v>6.699905571441582E-2</v>
      </c>
      <c r="AK639" s="186"/>
      <c r="AL639" s="186">
        <f t="shared" si="438"/>
        <v>167.63822685893837</v>
      </c>
      <c r="AM639" s="187">
        <f t="shared" si="439"/>
        <v>146607.46507335917</v>
      </c>
      <c r="AN639" s="186"/>
      <c r="AO639" s="188">
        <v>1.3307522123894</v>
      </c>
      <c r="AQ639" s="186">
        <f t="shared" si="440"/>
        <v>1163.8050112719377</v>
      </c>
      <c r="AR639" s="186">
        <f t="shared" si="441"/>
        <v>1.2382764765620125E-3</v>
      </c>
      <c r="AS639" s="187">
        <f>AR639*'DADOS BASE'!W$38</f>
        <v>371451.69840202259</v>
      </c>
      <c r="AU639" s="188">
        <v>0</v>
      </c>
      <c r="AV639" s="188">
        <v>0</v>
      </c>
      <c r="AW639" s="186">
        <f t="shared" si="442"/>
        <v>0</v>
      </c>
      <c r="AX639" s="186">
        <f>IF($AW$11&gt;0,(AW639/$AW$11)*'DADOS BASE'!W$40,0)</f>
        <v>0</v>
      </c>
      <c r="AY639" s="186">
        <f t="shared" si="443"/>
        <v>0</v>
      </c>
      <c r="AZ639" s="186">
        <f t="shared" si="444"/>
        <v>0</v>
      </c>
      <c r="BA639" s="186">
        <f>AZ639*'DADOS BASE'!W$41</f>
        <v>0</v>
      </c>
      <c r="BC639" s="188">
        <v>0</v>
      </c>
      <c r="BD639" s="186">
        <f>IF($BC$11&gt;0,(BC639/$BC$11)*'DADOS BASE'!W$39,0)</f>
        <v>0</v>
      </c>
      <c r="BE639" s="187"/>
    </row>
    <row r="640" spans="2:57" x14ac:dyDescent="0.3">
      <c r="B640" s="223" t="s">
        <v>705</v>
      </c>
      <c r="C640" s="223" t="s">
        <v>733</v>
      </c>
      <c r="D640" s="223" t="s">
        <v>92</v>
      </c>
      <c r="E640" s="223">
        <v>0</v>
      </c>
      <c r="F640" s="224"/>
      <c r="G640" s="225"/>
      <c r="H640" s="226">
        <f ca="1">IF(AND(E640&gt;=2018,SUMIF('DADOS BASE'!$C$101:$D$104,D640,'DADOS BASE'!$H$101:$H$104)&gt;J640),
SUMIF('DADOS BASE'!$C$101:$D$104,D640,'DADOS BASE'!$H$101:$H$104),
J640)</f>
        <v>2806023.9140599188</v>
      </c>
      <c r="I640" s="225"/>
      <c r="J640" s="226">
        <f t="shared" si="433"/>
        <v>2806023.9140599188</v>
      </c>
      <c r="K640" s="226"/>
      <c r="L640" s="227">
        <v>2830.2756554407001</v>
      </c>
      <c r="M640" s="226">
        <f t="shared" si="434"/>
        <v>2.2080499006602327E-3</v>
      </c>
      <c r="N640" s="226">
        <f>L640*'DADOS BASE'!$I$29</f>
        <v>2787074.69789419</v>
      </c>
      <c r="O640" s="228"/>
      <c r="P640" s="227">
        <v>0</v>
      </c>
      <c r="Q640" s="226">
        <f>P640*'DADOS BASE'!$I$33</f>
        <v>0</v>
      </c>
      <c r="R640" s="226"/>
      <c r="S640" s="227">
        <v>24.053672316383999</v>
      </c>
      <c r="T640" s="226">
        <f>S640*'DADOS BASE'!$I$37</f>
        <v>18949.216165728743</v>
      </c>
      <c r="U640" s="226"/>
      <c r="V640" s="226">
        <f t="shared" si="435"/>
        <v>18949.216165728743</v>
      </c>
      <c r="W640" s="228"/>
      <c r="X640" s="226"/>
      <c r="Y640" s="226"/>
      <c r="Z640" s="224"/>
      <c r="AA640" s="226"/>
      <c r="AB640" s="226"/>
      <c r="AC640" s="226"/>
      <c r="AD640" s="226"/>
      <c r="AE640" s="227">
        <v>1402</v>
      </c>
      <c r="AF640" s="227">
        <v>1168.6156129338001</v>
      </c>
      <c r="AG640" s="226" t="s">
        <v>155</v>
      </c>
      <c r="AH640" s="229">
        <v>0.73899999999999999</v>
      </c>
      <c r="AI640" s="225">
        <f t="shared" si="436"/>
        <v>863.60693795807822</v>
      </c>
      <c r="AJ640" s="226">
        <f t="shared" si="437"/>
        <v>2.2488851632782383E-2</v>
      </c>
      <c r="AK640" s="226"/>
      <c r="AL640" s="226">
        <f t="shared" si="438"/>
        <v>175.63565894630673</v>
      </c>
      <c r="AM640" s="228">
        <f t="shared" si="439"/>
        <v>205250.57323257011</v>
      </c>
      <c r="AN640" s="226"/>
      <c r="AO640" s="227">
        <v>1.0258697591435999</v>
      </c>
      <c r="AP640" s="225"/>
      <c r="AQ640" s="226">
        <f t="shared" si="440"/>
        <v>1198.8474173718478</v>
      </c>
      <c r="AR640" s="226">
        <f t="shared" si="441"/>
        <v>1.2755612336608224E-3</v>
      </c>
      <c r="AS640" s="228">
        <f>AR640*'DADOS BASE'!W$38</f>
        <v>382636.18475139741</v>
      </c>
      <c r="AT640" s="225"/>
      <c r="AU640" s="227">
        <v>9.6214689265536997</v>
      </c>
      <c r="AV640" s="227">
        <v>10</v>
      </c>
      <c r="AW640" s="226">
        <f t="shared" si="442"/>
        <v>2.4053672316384249</v>
      </c>
      <c r="AX640" s="226">
        <f>IF($AW$11&gt;0,(AW640/$AW$11)*'DADOS BASE'!W$40,0)</f>
        <v>432.18766296664421</v>
      </c>
      <c r="AY640" s="226">
        <f t="shared" si="443"/>
        <v>2.4675935025728188</v>
      </c>
      <c r="AZ640" s="226">
        <f t="shared" si="444"/>
        <v>1.2905591865550664E-4</v>
      </c>
      <c r="BA640" s="226">
        <f>AZ640*'DADOS BASE'!W$41</f>
        <v>953.44625518383589</v>
      </c>
      <c r="BB640" s="225"/>
      <c r="BC640" s="227">
        <v>0</v>
      </c>
      <c r="BD640" s="226">
        <f>IF($BC$11&gt;0,(BC640/$BC$11)*'DADOS BASE'!W$39,0)</f>
        <v>0</v>
      </c>
      <c r="BE640" s="187"/>
    </row>
    <row r="641" spans="2:57" x14ac:dyDescent="0.3">
      <c r="B641" s="184" t="s">
        <v>705</v>
      </c>
      <c r="C641" s="184" t="s">
        <v>734</v>
      </c>
      <c r="D641" s="184" t="s">
        <v>94</v>
      </c>
      <c r="E641" s="184">
        <v>0</v>
      </c>
      <c r="F641" s="185"/>
      <c r="H641" s="186">
        <f ca="1">IF(AND(E641&gt;=2018,SUMIF('DADOS BASE'!$C$101:$D$104,D641,'DADOS BASE'!$H$101:$H$104)&gt;J641),
SUMIF('DADOS BASE'!$C$101:$D$104,D641,'DADOS BASE'!$H$101:$H$104),
J641)</f>
        <v>1764093.9296738997</v>
      </c>
      <c r="J641" s="186">
        <f t="shared" si="433"/>
        <v>1764093.9296738997</v>
      </c>
      <c r="K641" s="186"/>
      <c r="L641" s="188">
        <v>1789.1694241014</v>
      </c>
      <c r="M641" s="186">
        <f t="shared" si="434"/>
        <v>1.3958270677830074E-3</v>
      </c>
      <c r="N641" s="186">
        <f>L641*'DADOS BASE'!$I$29</f>
        <v>1761859.7759455624</v>
      </c>
      <c r="O641" s="187"/>
      <c r="P641" s="188">
        <v>0</v>
      </c>
      <c r="Q641" s="186">
        <f>P641*'DADOS BASE'!$I$33</f>
        <v>0</v>
      </c>
      <c r="R641" s="186"/>
      <c r="S641" s="188">
        <v>2.8359801912567999</v>
      </c>
      <c r="T641" s="186">
        <f>S641*'DADOS BASE'!$I$37</f>
        <v>2234.1537283371681</v>
      </c>
      <c r="U641" s="186"/>
      <c r="V641" s="186">
        <f t="shared" si="435"/>
        <v>2234.1537283371681</v>
      </c>
      <c r="W641" s="187"/>
      <c r="X641" s="186"/>
      <c r="Y641" s="186"/>
      <c r="Z641" s="185"/>
      <c r="AA641" s="186"/>
      <c r="AB641" s="186"/>
      <c r="AC641" s="186"/>
      <c r="AD641" s="186"/>
      <c r="AE641" s="188">
        <v>1300</v>
      </c>
      <c r="AF641" s="188">
        <v>1011.1751828162</v>
      </c>
      <c r="AG641" s="186" t="s">
        <v>155</v>
      </c>
      <c r="AH641" s="189">
        <v>0.73599999999999999</v>
      </c>
      <c r="AI641" s="183">
        <f t="shared" si="436"/>
        <v>744.2249345527232</v>
      </c>
      <c r="AJ641" s="186">
        <f t="shared" si="437"/>
        <v>1.8442469443542976E-2</v>
      </c>
      <c r="AK641" s="186"/>
      <c r="AL641" s="186">
        <f t="shared" si="438"/>
        <v>176.36269822697659</v>
      </c>
      <c r="AM641" s="187">
        <f t="shared" si="439"/>
        <v>178333.58362162136</v>
      </c>
      <c r="AN641" s="186"/>
      <c r="AO641" s="188">
        <v>1.4484451718494</v>
      </c>
      <c r="AQ641" s="186">
        <f t="shared" si="440"/>
        <v>1464.6318114440594</v>
      </c>
      <c r="AR641" s="186">
        <f t="shared" si="441"/>
        <v>1.5583530757901272E-3</v>
      </c>
      <c r="AS641" s="187">
        <f>AR641*'DADOS BASE'!W$38</f>
        <v>467466.60190089606</v>
      </c>
      <c r="AU641" s="188">
        <v>1.1343920765027</v>
      </c>
      <c r="AV641" s="188">
        <v>1.75</v>
      </c>
      <c r="AW641" s="186">
        <f t="shared" si="442"/>
        <v>0.283598019125675</v>
      </c>
      <c r="AX641" s="186">
        <f>IF($AW$11&gt;0,(AW641/$AW$11)*'DADOS BASE'!W$40,0)</f>
        <v>50.955863826417797</v>
      </c>
      <c r="AY641" s="186">
        <f t="shared" si="443"/>
        <v>0.41077618154863776</v>
      </c>
      <c r="AZ641" s="186">
        <f t="shared" si="444"/>
        <v>2.148372388575626E-5</v>
      </c>
      <c r="BA641" s="186">
        <f>AZ641*'DADOS BASE'!W$41</f>
        <v>158.71861050367895</v>
      </c>
      <c r="BC641" s="188">
        <v>216</v>
      </c>
      <c r="BD641" s="186">
        <f>IF($BC$11&gt;0,(BC641/$BC$11)*'DADOS BASE'!W$39,0)</f>
        <v>1167092.0667030215</v>
      </c>
      <c r="BE641" s="187"/>
    </row>
    <row r="642" spans="2:57" x14ac:dyDescent="0.3">
      <c r="B642" s="223" t="s">
        <v>705</v>
      </c>
      <c r="C642" s="223" t="s">
        <v>735</v>
      </c>
      <c r="D642" s="223" t="s">
        <v>92</v>
      </c>
      <c r="E642" s="223">
        <v>0</v>
      </c>
      <c r="F642" s="224"/>
      <c r="G642" s="225"/>
      <c r="H642" s="226">
        <f ca="1">IF(AND(E642&gt;=2018,SUMIF('DADOS BASE'!$C$101:$D$104,D642,'DADOS BASE'!$H$101:$H$104)&gt;J642),
SUMIF('DADOS BASE'!$C$101:$D$104,D642,'DADOS BASE'!$H$101:$H$104),
J642)</f>
        <v>4969397.4205910349</v>
      </c>
      <c r="I642" s="225"/>
      <c r="J642" s="226">
        <f t="shared" si="433"/>
        <v>4969397.4205910349</v>
      </c>
      <c r="K642" s="226"/>
      <c r="L642" s="227">
        <v>5036.6308215446998</v>
      </c>
      <c r="M642" s="226">
        <f t="shared" si="434"/>
        <v>3.9293459503831887E-3</v>
      </c>
      <c r="N642" s="226">
        <f>L642*'DADOS BASE'!$I$29</f>
        <v>4959752.3472234011</v>
      </c>
      <c r="O642" s="228"/>
      <c r="P642" s="227">
        <v>0</v>
      </c>
      <c r="Q642" s="226">
        <f>P642*'DADOS BASE'!$I$33</f>
        <v>0</v>
      </c>
      <c r="R642" s="226"/>
      <c r="S642" s="227">
        <v>12.243220628414999</v>
      </c>
      <c r="T642" s="226">
        <f>S642*'DADOS BASE'!$I$37</f>
        <v>9645.073367633775</v>
      </c>
      <c r="U642" s="226"/>
      <c r="V642" s="226">
        <f t="shared" si="435"/>
        <v>9645.073367633775</v>
      </c>
      <c r="W642" s="228"/>
      <c r="X642" s="226"/>
      <c r="Y642" s="226"/>
      <c r="Z642" s="224"/>
      <c r="AA642" s="226"/>
      <c r="AB642" s="226"/>
      <c r="AC642" s="226"/>
      <c r="AD642" s="226"/>
      <c r="AE642" s="227">
        <v>2192</v>
      </c>
      <c r="AF642" s="227">
        <v>1953.207782404</v>
      </c>
      <c r="AG642" s="226" t="s">
        <v>155</v>
      </c>
      <c r="AH642" s="229">
        <v>0.68500000000000005</v>
      </c>
      <c r="AI642" s="225">
        <f t="shared" si="436"/>
        <v>1337.9473309467401</v>
      </c>
      <c r="AJ642" s="226">
        <f t="shared" si="437"/>
        <v>-5.0346027773526737E-2</v>
      </c>
      <c r="AK642" s="226"/>
      <c r="AL642" s="226">
        <f t="shared" si="438"/>
        <v>188.72236599836404</v>
      </c>
      <c r="AM642" s="228">
        <f t="shared" si="439"/>
        <v>368613.99398170068</v>
      </c>
      <c r="AN642" s="226"/>
      <c r="AO642" s="227">
        <v>1.1891604675877001</v>
      </c>
      <c r="AP642" s="225"/>
      <c r="AQ642" s="226">
        <f t="shared" si="440"/>
        <v>2322.6774798194756</v>
      </c>
      <c r="AR642" s="226">
        <f t="shared" si="441"/>
        <v>2.4713047787596732E-3</v>
      </c>
      <c r="AS642" s="228">
        <f>AR642*'DADOS BASE'!W$38</f>
        <v>741329.07691826252</v>
      </c>
      <c r="AT642" s="225"/>
      <c r="AU642" s="227">
        <v>6.6522882513660999</v>
      </c>
      <c r="AV642" s="227">
        <v>20</v>
      </c>
      <c r="AW642" s="226">
        <f t="shared" si="442"/>
        <v>1.663072062841525</v>
      </c>
      <c r="AX642" s="226">
        <f>IF($AW$11&gt;0,(AW642/$AW$11)*'DADOS BASE'!W$40,0)</f>
        <v>298.81475839970147</v>
      </c>
      <c r="AY642" s="226">
        <f t="shared" si="443"/>
        <v>1.9776595518806688</v>
      </c>
      <c r="AZ642" s="226">
        <f t="shared" si="444"/>
        <v>1.034322184710265E-4</v>
      </c>
      <c r="BA642" s="226">
        <f>AZ642*'DADOS BASE'!W$41</f>
        <v>764.14210517379274</v>
      </c>
      <c r="BB642" s="225"/>
      <c r="BC642" s="227">
        <v>308</v>
      </c>
      <c r="BD642" s="226">
        <f>IF($BC$11&gt;0,(BC642/$BC$11)*'DADOS BASE'!W$39,0)</f>
        <v>1664186.8358543084</v>
      </c>
      <c r="BE642" s="187"/>
    </row>
    <row r="643" spans="2:57" x14ac:dyDescent="0.3">
      <c r="F643" s="185"/>
      <c r="H643" s="186"/>
      <c r="J643" s="186"/>
      <c r="K643" s="186"/>
      <c r="L643" s="186"/>
      <c r="M643" s="186"/>
      <c r="N643" s="186"/>
      <c r="O643" s="187"/>
      <c r="P643" s="186"/>
      <c r="Q643" s="186"/>
      <c r="R643" s="186"/>
      <c r="S643" s="186"/>
      <c r="T643" s="186"/>
      <c r="U643" s="186"/>
      <c r="V643" s="186"/>
      <c r="W643" s="187"/>
      <c r="X643" s="186"/>
      <c r="Y643" s="186"/>
      <c r="Z643" s="185"/>
      <c r="AA643" s="186"/>
      <c r="AB643" s="186"/>
      <c r="AC643" s="186"/>
      <c r="AD643" s="186"/>
      <c r="AE643" s="186"/>
      <c r="AF643" s="186"/>
      <c r="AG643" s="186"/>
      <c r="AH643" s="185"/>
      <c r="AJ643" s="186"/>
      <c r="AK643" s="186"/>
      <c r="AL643" s="186"/>
      <c r="AM643" s="187"/>
      <c r="AN643" s="186"/>
      <c r="AO643" s="186"/>
      <c r="AQ643" s="186"/>
      <c r="AR643" s="186"/>
      <c r="AS643" s="187"/>
      <c r="AU643" s="186"/>
      <c r="AV643" s="186"/>
      <c r="AW643" s="186"/>
      <c r="AX643" s="186"/>
      <c r="AY643" s="186"/>
      <c r="AZ643" s="186"/>
      <c r="BA643" s="186"/>
      <c r="BC643" s="186"/>
      <c r="BD643" s="186"/>
      <c r="BE643" s="187"/>
    </row>
    <row r="644" spans="2:57" x14ac:dyDescent="0.3">
      <c r="B644" s="209" t="s">
        <v>705</v>
      </c>
      <c r="C644" s="209" t="s">
        <v>736</v>
      </c>
      <c r="D644" s="211" t="s">
        <v>154</v>
      </c>
      <c r="E644" s="211"/>
      <c r="F644" s="210"/>
      <c r="G644" s="211"/>
      <c r="H644" s="212">
        <f ca="1">SUM(H645:H660)</f>
        <v>33425074.494578026</v>
      </c>
      <c r="I644" s="211"/>
      <c r="J644" s="212">
        <f>SUM(J645:J660)</f>
        <v>33425074.494578026</v>
      </c>
      <c r="K644" s="212"/>
      <c r="L644" s="212">
        <f>SUM(L645:L660)</f>
        <v>24448.30534548845</v>
      </c>
      <c r="M644" s="212">
        <f>SUM(M645:M660)</f>
        <v>1.9073434803300506E-2</v>
      </c>
      <c r="N644" s="212">
        <f>SUM(N645:N660)</f>
        <v>24075129.609307338</v>
      </c>
      <c r="O644" s="214"/>
      <c r="P644" s="212">
        <f>SUM(P645:P660)</f>
        <v>2093.9670073302691</v>
      </c>
      <c r="Q644" s="212">
        <f>SUM(Q645:Q660)</f>
        <v>515501.24217906647</v>
      </c>
      <c r="R644" s="212"/>
      <c r="S644" s="212">
        <f>SUM(S645:S660)</f>
        <v>11214.227049286252</v>
      </c>
      <c r="T644" s="212">
        <f>SUM(T645:T660)</f>
        <v>8834443.6430916227</v>
      </c>
      <c r="U644" s="212"/>
      <c r="V644" s="212">
        <f>SUM(V645:V660)</f>
        <v>9349944.8852706887</v>
      </c>
      <c r="W644" s="214"/>
      <c r="X644" s="212">
        <f>SUMIF(INDICADORES!$D$13:$D$53,C644,INDICADORES!$L$13:$L$53)</f>
        <v>6.898327845330292E-3</v>
      </c>
      <c r="Y644" s="212">
        <f>X644*'DADOS BASE'!$I$79</f>
        <v>286440.76083727303</v>
      </c>
      <c r="Z644" s="210">
        <f>SUMIF(INDICADORES!$D$13:$D$53,C644,INDICADORES!$R$13:$R$53)</f>
        <v>2.3141727319617167E-2</v>
      </c>
      <c r="AA644" s="212">
        <f>Z644*'DADOS BASE'!$I$84</f>
        <v>960918.95444010536</v>
      </c>
      <c r="AB644" s="212">
        <f>SUMIF(INDICADORES!$D$13:$D$53,C644,INDICADORES!$Z$13:$Z$53)</f>
        <v>2.4914365314158836E-3</v>
      </c>
      <c r="AC644" s="212">
        <f>AB644*'DADOS BASE'!$I$89</f>
        <v>206904.91714441639</v>
      </c>
      <c r="AD644" s="212"/>
      <c r="AE644" s="212">
        <f>SUM(AE645:AE660)</f>
        <v>17195</v>
      </c>
      <c r="AF644" s="212">
        <f>SUM(AF645:AF660)</f>
        <v>10832.539534285506</v>
      </c>
      <c r="AG644" s="212" t="s">
        <v>155</v>
      </c>
      <c r="AH644" s="210"/>
      <c r="AI644" s="211"/>
      <c r="AJ644" s="212"/>
      <c r="AK644" s="212"/>
      <c r="AL644" s="212"/>
      <c r="AM644" s="214">
        <f>SUM(AM645:AM660)</f>
        <v>1907660.6749276842</v>
      </c>
      <c r="AN644" s="212"/>
      <c r="AO644" s="212"/>
      <c r="AP644" s="211"/>
      <c r="AQ644" s="212">
        <f>SUM(AQ645:AQ660)</f>
        <v>12963.671100365533</v>
      </c>
      <c r="AR644" s="212"/>
      <c r="AS644" s="214">
        <f>SUM(AS645:AS660)</f>
        <v>4137615.4949644064</v>
      </c>
      <c r="AT644" s="211"/>
      <c r="AU644" s="212">
        <f t="shared" ref="AU644:BA644" si="445">SUM(AU645:AU660)</f>
        <v>9327.252953091911</v>
      </c>
      <c r="AV644" s="212">
        <f t="shared" si="445"/>
        <v>14231.75</v>
      </c>
      <c r="AW644" s="212">
        <f t="shared" si="445"/>
        <v>2331.8132382729777</v>
      </c>
      <c r="AX644" s="212">
        <f t="shared" si="445"/>
        <v>418971.74812572263</v>
      </c>
      <c r="AY644" s="212">
        <f t="shared" si="445"/>
        <v>2404.6273541450619</v>
      </c>
      <c r="AZ644" s="212">
        <f t="shared" si="445"/>
        <v>0.1257627692283135</v>
      </c>
      <c r="BA644" s="212">
        <f t="shared" si="445"/>
        <v>929116.94877287338</v>
      </c>
      <c r="BB644" s="211"/>
      <c r="BC644" s="212">
        <f>SUM(BC645:BC660)</f>
        <v>90</v>
      </c>
      <c r="BD644" s="212">
        <f>SUM(BD645:BD660)</f>
        <v>486288.36112625897</v>
      </c>
      <c r="BE644" s="187"/>
    </row>
    <row r="645" spans="2:57" x14ac:dyDescent="0.3">
      <c r="B645" s="216" t="s">
        <v>705</v>
      </c>
      <c r="C645" s="218" t="s">
        <v>156</v>
      </c>
      <c r="D645" s="218" t="s">
        <v>157</v>
      </c>
      <c r="E645" s="218"/>
      <c r="F645" s="217"/>
      <c r="G645" s="218"/>
      <c r="H645" s="219"/>
      <c r="I645" s="218"/>
      <c r="J645" s="219"/>
      <c r="K645" s="219"/>
      <c r="L645" s="219">
        <v>0</v>
      </c>
      <c r="M645" s="219">
        <v>0</v>
      </c>
      <c r="N645" s="219">
        <v>0</v>
      </c>
      <c r="O645" s="221"/>
      <c r="P645" s="219"/>
      <c r="Q645" s="219"/>
      <c r="R645" s="219"/>
      <c r="S645" s="219"/>
      <c r="T645" s="219"/>
      <c r="U645" s="219"/>
      <c r="V645" s="219"/>
      <c r="W645" s="221"/>
      <c r="X645" s="219"/>
      <c r="Y645" s="219"/>
      <c r="Z645" s="217"/>
      <c r="AA645" s="219"/>
      <c r="AB645" s="219"/>
      <c r="AC645" s="219"/>
      <c r="AD645" s="219"/>
      <c r="AE645" s="219"/>
      <c r="AF645" s="219"/>
      <c r="AG645" s="219" t="s">
        <v>155</v>
      </c>
      <c r="AH645" s="217"/>
      <c r="AI645" s="218"/>
      <c r="AJ645" s="219"/>
      <c r="AK645" s="219"/>
      <c r="AL645" s="219"/>
      <c r="AM645" s="221"/>
      <c r="AN645" s="219"/>
      <c r="AO645" s="219"/>
      <c r="AP645" s="218"/>
      <c r="AQ645" s="219"/>
      <c r="AR645" s="219"/>
      <c r="AS645" s="221"/>
      <c r="AT645" s="218"/>
      <c r="AU645" s="219"/>
      <c r="AV645" s="219"/>
      <c r="AW645" s="219"/>
      <c r="AX645" s="219"/>
      <c r="AY645" s="219"/>
      <c r="AZ645" s="219"/>
      <c r="BA645" s="219"/>
      <c r="BB645" s="218"/>
      <c r="BC645" s="219"/>
      <c r="BD645" s="219"/>
      <c r="BE645" s="187"/>
    </row>
    <row r="646" spans="2:57" x14ac:dyDescent="0.3">
      <c r="B646" s="223" t="s">
        <v>705</v>
      </c>
      <c r="C646" s="223" t="s">
        <v>737</v>
      </c>
      <c r="D646" s="223" t="s">
        <v>98</v>
      </c>
      <c r="E646" s="223">
        <v>2013</v>
      </c>
      <c r="F646" s="224"/>
      <c r="G646" s="225"/>
      <c r="H646" s="226">
        <f ca="1">IF(AND(E646&gt;=2018,SUMIF('DADOS BASE'!$C$101:$D$104,D646,'DADOS BASE'!$H$101:$H$104)&gt;J646),
SUMIF('DADOS BASE'!$C$101:$D$104,D646,'DADOS BASE'!$H$101:$H$104),
J646)</f>
        <v>511122.54385193746</v>
      </c>
      <c r="I646" s="225"/>
      <c r="J646" s="226">
        <f t="shared" ref="J646:J660" si="446">N646+Q646+T646</f>
        <v>511122.54385193746</v>
      </c>
      <c r="K646" s="226"/>
      <c r="L646" s="227">
        <v>379.92885657994998</v>
      </c>
      <c r="M646" s="226">
        <f t="shared" ref="M646:M660" si="447">L646/$L$11</f>
        <v>2.9640288655865556E-4</v>
      </c>
      <c r="N646" s="226">
        <f>L646*'DADOS BASE'!$I$29</f>
        <v>374129.67218875728</v>
      </c>
      <c r="O646" s="228"/>
      <c r="P646" s="227">
        <v>0</v>
      </c>
      <c r="Q646" s="226">
        <f>P646*'DADOS BASE'!$I$33</f>
        <v>0</v>
      </c>
      <c r="R646" s="226"/>
      <c r="S646" s="227">
        <v>173.89540632430999</v>
      </c>
      <c r="T646" s="226">
        <f>S646*'DADOS BASE'!$I$37</f>
        <v>136992.87166318018</v>
      </c>
      <c r="U646" s="226"/>
      <c r="V646" s="226">
        <f t="shared" ref="V646:V660" si="448">T646+Q646</f>
        <v>136992.87166318018</v>
      </c>
      <c r="W646" s="228"/>
      <c r="X646" s="226"/>
      <c r="Y646" s="226"/>
      <c r="Z646" s="224"/>
      <c r="AA646" s="226"/>
      <c r="AB646" s="226"/>
      <c r="AC646" s="226"/>
      <c r="AD646" s="226"/>
      <c r="AE646" s="227">
        <v>252</v>
      </c>
      <c r="AF646" s="227">
        <v>179.17753340747001</v>
      </c>
      <c r="AG646" s="226" t="s">
        <v>155</v>
      </c>
      <c r="AH646" s="229">
        <v>0.70699999999999996</v>
      </c>
      <c r="AI646" s="225">
        <f t="shared" ref="AI646:AI660" si="449">AF646*AH646</f>
        <v>126.67851611908129</v>
      </c>
      <c r="AJ646" s="226">
        <f t="shared" ref="AJ646:AJ660" si="450">(AH646-$AI$12)*$AJ$12</f>
        <v>-2.0672558385771259E-2</v>
      </c>
      <c r="AK646" s="226"/>
      <c r="AL646" s="226">
        <f t="shared" ref="AL646:AL660" si="451">$AL$11-(AJ646*$AL$11)</f>
        <v>183.39074460678515</v>
      </c>
      <c r="AM646" s="228">
        <f t="shared" ref="AM646:AM660" si="452">AF646*AL646</f>
        <v>32859.501268403044</v>
      </c>
      <c r="AN646" s="226"/>
      <c r="AO646" s="227">
        <v>0</v>
      </c>
      <c r="AP646" s="225"/>
      <c r="AQ646" s="226">
        <f t="shared" ref="AQ646:AQ660" si="453">AF646*AO646</f>
        <v>0</v>
      </c>
      <c r="AR646" s="226">
        <f t="shared" ref="AR646:AR660" si="454">AQ646/$AQ$11</f>
        <v>0</v>
      </c>
      <c r="AS646" s="228">
        <f>AR646*'DADOS BASE'!W$38</f>
        <v>0</v>
      </c>
      <c r="AT646" s="225"/>
      <c r="AU646" s="227">
        <v>117.33726678943</v>
      </c>
      <c r="AV646" s="227">
        <v>178</v>
      </c>
      <c r="AW646" s="226">
        <f t="shared" ref="AW646:AW660" si="455">AU646/4</f>
        <v>29.334316697357501</v>
      </c>
      <c r="AX646" s="226">
        <f>IF($AW$11&gt;0,(AW646/$AW$11)*'DADOS BASE'!W$40,0)</f>
        <v>5270.68366584454</v>
      </c>
      <c r="AY646" s="226">
        <f t="shared" ref="AY646:AY660" si="456">AO646*AW646</f>
        <v>0</v>
      </c>
      <c r="AZ646" s="226">
        <f t="shared" ref="AZ646:AZ660" si="457">IF($AY$11&gt;0,AY646/$AY$11,0)</f>
        <v>0</v>
      </c>
      <c r="BA646" s="226">
        <f>AZ646*'DADOS BASE'!W$41</f>
        <v>0</v>
      </c>
      <c r="BB646" s="225"/>
      <c r="BC646" s="227">
        <v>0</v>
      </c>
      <c r="BD646" s="226">
        <f>IF($BC$11&gt;0,(BC646/$BC$11)*'DADOS BASE'!W$39,0)</f>
        <v>0</v>
      </c>
      <c r="BE646" s="187"/>
    </row>
    <row r="647" spans="2:57" x14ac:dyDescent="0.3">
      <c r="B647" s="184" t="s">
        <v>705</v>
      </c>
      <c r="C647" s="184" t="s">
        <v>738</v>
      </c>
      <c r="D647" s="184" t="s">
        <v>98</v>
      </c>
      <c r="E647" s="184">
        <v>2014</v>
      </c>
      <c r="F647" s="185"/>
      <c r="H647" s="186">
        <f ca="1">IF(AND(E647&gt;=2018,SUMIF('DADOS BASE'!$C$101:$D$104,D647,'DADOS BASE'!$H$101:$H$104)&gt;J647),
SUMIF('DADOS BASE'!$C$101:$D$104,D647,'DADOS BASE'!$H$101:$H$104),
J647)</f>
        <v>2441590.7080919347</v>
      </c>
      <c r="J647" s="186">
        <f t="shared" si="446"/>
        <v>2441590.7080919347</v>
      </c>
      <c r="K647" s="186"/>
      <c r="L647" s="188">
        <v>656.78403855575004</v>
      </c>
      <c r="M647" s="186">
        <f t="shared" si="447"/>
        <v>5.1239246901639297E-4</v>
      </c>
      <c r="N647" s="186">
        <f>L647*'DADOS BASE'!$I$29</f>
        <v>646758.97286565416</v>
      </c>
      <c r="O647" s="187"/>
      <c r="P647" s="188">
        <v>79.341101694914997</v>
      </c>
      <c r="Q647" s="186">
        <f>P647*'DADOS BASE'!$I$33</f>
        <v>19532.512373120378</v>
      </c>
      <c r="R647" s="186"/>
      <c r="S647" s="188">
        <v>2253.5214858793001</v>
      </c>
      <c r="T647" s="186">
        <f>S647*'DADOS BASE'!$I$37</f>
        <v>1775299.2228531602</v>
      </c>
      <c r="U647" s="186"/>
      <c r="V647" s="186">
        <f t="shared" si="448"/>
        <v>1794831.7352262805</v>
      </c>
      <c r="W647" s="187"/>
      <c r="X647" s="186"/>
      <c r="Y647" s="186"/>
      <c r="Z647" s="185"/>
      <c r="AA647" s="186"/>
      <c r="AB647" s="186"/>
      <c r="AC647" s="186"/>
      <c r="AD647" s="186"/>
      <c r="AE647" s="188">
        <v>399</v>
      </c>
      <c r="AF647" s="188">
        <v>264.51725471899999</v>
      </c>
      <c r="AG647" s="186" t="s">
        <v>155</v>
      </c>
      <c r="AH647" s="189">
        <v>0.747</v>
      </c>
      <c r="AI647" s="183">
        <f t="shared" si="449"/>
        <v>197.59438927509299</v>
      </c>
      <c r="AJ647" s="186">
        <f t="shared" si="450"/>
        <v>3.327920413742079E-2</v>
      </c>
      <c r="AK647" s="186"/>
      <c r="AL647" s="186">
        <f t="shared" si="451"/>
        <v>173.69688753118714</v>
      </c>
      <c r="AM647" s="187">
        <f t="shared" si="452"/>
        <v>45945.823842984522</v>
      </c>
      <c r="AN647" s="186"/>
      <c r="AO647" s="188">
        <v>3.3444816053512E-3</v>
      </c>
      <c r="AQ647" s="186">
        <f t="shared" si="453"/>
        <v>0.88467309270569339</v>
      </c>
      <c r="AR647" s="186">
        <f t="shared" si="454"/>
        <v>9.412830066331914E-7</v>
      </c>
      <c r="AS647" s="187">
        <f>AR647*'DADOS BASE'!W$38</f>
        <v>282.36115125243708</v>
      </c>
      <c r="AU647" s="188">
        <v>2253.5214858793001</v>
      </c>
      <c r="AV647" s="188">
        <v>2823.75</v>
      </c>
      <c r="AW647" s="186">
        <f t="shared" si="455"/>
        <v>563.38037146982504</v>
      </c>
      <c r="AX647" s="186">
        <f>IF($AW$11&gt;0,(AW647/$AW$11)*'DADOS BASE'!W$40,0)</f>
        <v>101226.14248011191</v>
      </c>
      <c r="AY647" s="186">
        <f t="shared" si="456"/>
        <v>1.8842152891967558</v>
      </c>
      <c r="AZ647" s="186">
        <f t="shared" si="457"/>
        <v>9.8545054053068254E-5</v>
      </c>
      <c r="BA647" s="186">
        <f>AZ647*'DADOS BASE'!W$41</f>
        <v>728.03644910382093</v>
      </c>
      <c r="BC647" s="188">
        <v>0</v>
      </c>
      <c r="BD647" s="186">
        <f>IF($BC$11&gt;0,(BC647/$BC$11)*'DADOS BASE'!W$39,0)</f>
        <v>0</v>
      </c>
      <c r="BE647" s="187"/>
    </row>
    <row r="648" spans="2:57" x14ac:dyDescent="0.3">
      <c r="B648" s="223" t="s">
        <v>705</v>
      </c>
      <c r="C648" s="223" t="s">
        <v>739</v>
      </c>
      <c r="D648" s="223" t="s">
        <v>92</v>
      </c>
      <c r="E648" s="223">
        <v>2010</v>
      </c>
      <c r="F648" s="224"/>
      <c r="G648" s="225"/>
      <c r="H648" s="226">
        <f ca="1">IF(AND(E648&gt;=2018,SUMIF('DADOS BASE'!$C$101:$D$104,D648,'DADOS BASE'!$H$101:$H$104)&gt;J648),
SUMIF('DADOS BASE'!$C$101:$D$104,D648,'DADOS BASE'!$H$101:$H$104),
J648)</f>
        <v>1787865.1867516944</v>
      </c>
      <c r="I648" s="225"/>
      <c r="J648" s="226">
        <f t="shared" si="446"/>
        <v>1787865.1867516944</v>
      </c>
      <c r="K648" s="226"/>
      <c r="L648" s="227">
        <v>1261.7016112315</v>
      </c>
      <c r="M648" s="226">
        <f t="shared" si="447"/>
        <v>9.8432112504206895E-4</v>
      </c>
      <c r="N648" s="226">
        <f>L648*'DADOS BASE'!$I$29</f>
        <v>1242443.1628049675</v>
      </c>
      <c r="O648" s="228"/>
      <c r="P648" s="227">
        <v>99.248658318425996</v>
      </c>
      <c r="Q648" s="226">
        <f>P648*'DADOS BASE'!$I$33</f>
        <v>24433.434943650354</v>
      </c>
      <c r="R648" s="226"/>
      <c r="S648" s="227">
        <v>661.33019386416004</v>
      </c>
      <c r="T648" s="226">
        <f>S648*'DADOS BASE'!$I$37</f>
        <v>520988.5890030766</v>
      </c>
      <c r="U648" s="226"/>
      <c r="V648" s="226">
        <f t="shared" si="448"/>
        <v>545422.02394672693</v>
      </c>
      <c r="W648" s="228"/>
      <c r="X648" s="226"/>
      <c r="Y648" s="226"/>
      <c r="Z648" s="224"/>
      <c r="AA648" s="226"/>
      <c r="AB648" s="226"/>
      <c r="AC648" s="226"/>
      <c r="AD648" s="226"/>
      <c r="AE648" s="227">
        <v>738</v>
      </c>
      <c r="AF648" s="227">
        <v>528.43129440771997</v>
      </c>
      <c r="AG648" s="226" t="s">
        <v>155</v>
      </c>
      <c r="AH648" s="229">
        <v>0.74</v>
      </c>
      <c r="AI648" s="225">
        <f t="shared" si="449"/>
        <v>391.03915786171279</v>
      </c>
      <c r="AJ648" s="226">
        <f t="shared" si="450"/>
        <v>2.3837645695862181E-2</v>
      </c>
      <c r="AK648" s="226"/>
      <c r="AL648" s="226">
        <f t="shared" si="451"/>
        <v>175.39331251941678</v>
      </c>
      <c r="AM648" s="228">
        <f t="shared" si="452"/>
        <v>92683.315165093169</v>
      </c>
      <c r="AN648" s="226"/>
      <c r="AO648" s="227">
        <v>1.7198339756893</v>
      </c>
      <c r="AP648" s="225"/>
      <c r="AQ648" s="226">
        <f t="shared" si="453"/>
        <v>908.81409393987201</v>
      </c>
      <c r="AR648" s="226">
        <f t="shared" si="454"/>
        <v>9.6696878187853697E-4</v>
      </c>
      <c r="AS648" s="228">
        <f>AR648*'DADOS BASE'!W$38</f>
        <v>290066.23571479094</v>
      </c>
      <c r="AT648" s="225"/>
      <c r="AU648" s="227">
        <v>658.37653168179997</v>
      </c>
      <c r="AV648" s="227">
        <v>309</v>
      </c>
      <c r="AW648" s="226">
        <f t="shared" si="455"/>
        <v>164.59413292044999</v>
      </c>
      <c r="AX648" s="226">
        <f>IF($AW$11&gt;0,(AW648/$AW$11)*'DADOS BASE'!W$40,0)</f>
        <v>29573.677029123002</v>
      </c>
      <c r="AY648" s="226">
        <f t="shared" si="456"/>
        <v>283.07458199571062</v>
      </c>
      <c r="AZ648" s="226">
        <f t="shared" si="457"/>
        <v>1.4804889942119589E-2</v>
      </c>
      <c r="BA648" s="226">
        <f>AZ648*'DADOS BASE'!W$41</f>
        <v>109376.36197377503</v>
      </c>
      <c r="BB648" s="225"/>
      <c r="BC648" s="227">
        <v>0</v>
      </c>
      <c r="BD648" s="226">
        <f>IF($BC$11&gt;0,(BC648/$BC$11)*'DADOS BASE'!W$39,0)</f>
        <v>0</v>
      </c>
      <c r="BE648" s="187"/>
    </row>
    <row r="649" spans="2:57" x14ac:dyDescent="0.3">
      <c r="B649" s="184" t="s">
        <v>705</v>
      </c>
      <c r="C649" s="184" t="s">
        <v>740</v>
      </c>
      <c r="D649" s="184" t="s">
        <v>94</v>
      </c>
      <c r="E649" s="184">
        <v>2010</v>
      </c>
      <c r="F649" s="185"/>
      <c r="H649" s="186">
        <f ca="1">IF(AND(E649&gt;=2018,SUMIF('DADOS BASE'!$C$101:$D$104,D649,'DADOS BASE'!$H$101:$H$104)&gt;J649),
SUMIF('DADOS BASE'!$C$101:$D$104,D649,'DADOS BASE'!$H$101:$H$104),
J649)</f>
        <v>1233465.3971948524</v>
      </c>
      <c r="J649" s="186">
        <f t="shared" si="446"/>
        <v>1233465.3971948524</v>
      </c>
      <c r="K649" s="186"/>
      <c r="L649" s="188">
        <v>1177.3601738725999</v>
      </c>
      <c r="M649" s="186">
        <f t="shared" si="447"/>
        <v>9.1852184431693304E-4</v>
      </c>
      <c r="N649" s="186">
        <f>L649*'DADOS BASE'!$I$29</f>
        <v>1159389.1021182828</v>
      </c>
      <c r="O649" s="187"/>
      <c r="P649" s="188">
        <v>0</v>
      </c>
      <c r="Q649" s="186">
        <f>P649*'DADOS BASE'!$I$33</f>
        <v>0</v>
      </c>
      <c r="R649" s="186"/>
      <c r="S649" s="188">
        <v>94.030640243901999</v>
      </c>
      <c r="T649" s="186">
        <f>S649*'DADOS BASE'!$I$37</f>
        <v>74076.29507656947</v>
      </c>
      <c r="U649" s="186"/>
      <c r="V649" s="186">
        <f t="shared" si="448"/>
        <v>74076.29507656947</v>
      </c>
      <c r="W649" s="187"/>
      <c r="X649" s="186"/>
      <c r="Y649" s="186"/>
      <c r="Z649" s="185"/>
      <c r="AA649" s="186"/>
      <c r="AB649" s="186"/>
      <c r="AC649" s="186"/>
      <c r="AD649" s="186"/>
      <c r="AE649" s="188">
        <v>852</v>
      </c>
      <c r="AF649" s="188">
        <v>552.78785199436004</v>
      </c>
      <c r="AG649" s="186" t="s">
        <v>155</v>
      </c>
      <c r="AH649" s="189">
        <v>0.69699999999999995</v>
      </c>
      <c r="AI649" s="183">
        <f t="shared" si="449"/>
        <v>385.29313284006895</v>
      </c>
      <c r="AJ649" s="186">
        <f t="shared" si="450"/>
        <v>-3.4160499016569271E-2</v>
      </c>
      <c r="AK649" s="186"/>
      <c r="AL649" s="186">
        <f t="shared" si="451"/>
        <v>185.81420887568467</v>
      </c>
      <c r="AM649" s="187">
        <f t="shared" si="452"/>
        <v>102715.83739442108</v>
      </c>
      <c r="AN649" s="186"/>
      <c r="AO649" s="188">
        <v>1.6264609630669</v>
      </c>
      <c r="AQ649" s="186">
        <f t="shared" si="453"/>
        <v>899.08786212642985</v>
      </c>
      <c r="AR649" s="186">
        <f t="shared" si="454"/>
        <v>9.5662017197951986E-4</v>
      </c>
      <c r="AS649" s="187">
        <f>AR649*'DADOS BASE'!W$38</f>
        <v>286961.91386434075</v>
      </c>
      <c r="AU649" s="188">
        <v>94.030640243901999</v>
      </c>
      <c r="AV649" s="188">
        <v>139</v>
      </c>
      <c r="AW649" s="186">
        <f t="shared" si="455"/>
        <v>23.5076600609755</v>
      </c>
      <c r="AX649" s="186">
        <f>IF($AW$11&gt;0,(AW649/$AW$11)*'DADOS BASE'!W$40,0)</f>
        <v>4223.7711273080695</v>
      </c>
      <c r="AY649" s="186">
        <f t="shared" si="456"/>
        <v>38.234291422223514</v>
      </c>
      <c r="AZ649" s="186">
        <f t="shared" si="457"/>
        <v>1.9996655034521028E-3</v>
      </c>
      <c r="BA649" s="186">
        <f>AZ649*'DADOS BASE'!W$41</f>
        <v>14773.236328478581</v>
      </c>
      <c r="BC649" s="188">
        <v>0</v>
      </c>
      <c r="BD649" s="186">
        <f>IF($BC$11&gt;0,(BC649/$BC$11)*'DADOS BASE'!W$39,0)</f>
        <v>0</v>
      </c>
      <c r="BE649" s="187"/>
    </row>
    <row r="650" spans="2:57" x14ac:dyDescent="0.3">
      <c r="B650" s="223" t="s">
        <v>705</v>
      </c>
      <c r="C650" s="223" t="s">
        <v>741</v>
      </c>
      <c r="D650" s="223" t="s">
        <v>94</v>
      </c>
      <c r="E650" s="223">
        <v>2006</v>
      </c>
      <c r="F650" s="224"/>
      <c r="G650" s="225"/>
      <c r="H650" s="226">
        <f ca="1">IF(AND(E650&gt;=2018,SUMIF('DADOS BASE'!$C$101:$D$104,D650,'DADOS BASE'!$H$101:$H$104)&gt;J650),
SUMIF('DADOS BASE'!$C$101:$D$104,D650,'DADOS BASE'!$H$101:$H$104),
J650)</f>
        <v>1878750.7082090424</v>
      </c>
      <c r="I650" s="225"/>
      <c r="J650" s="226">
        <f t="shared" si="446"/>
        <v>1878750.7082090424</v>
      </c>
      <c r="K650" s="226"/>
      <c r="L650" s="227">
        <v>1702.5240540328</v>
      </c>
      <c r="M650" s="226">
        <f t="shared" si="447"/>
        <v>1.3282303655307486E-3</v>
      </c>
      <c r="N650" s="226">
        <f>L650*'DADOS BASE'!$I$29</f>
        <v>1676536.9494768197</v>
      </c>
      <c r="O650" s="228"/>
      <c r="P650" s="227">
        <v>0</v>
      </c>
      <c r="Q650" s="226">
        <f>P650*'DADOS BASE'!$I$33</f>
        <v>0</v>
      </c>
      <c r="R650" s="226"/>
      <c r="S650" s="227">
        <v>256.68520786660002</v>
      </c>
      <c r="T650" s="226">
        <f>S650*'DADOS BASE'!$I$37</f>
        <v>202213.75873222275</v>
      </c>
      <c r="U650" s="226"/>
      <c r="V650" s="226">
        <f t="shared" si="448"/>
        <v>202213.75873222275</v>
      </c>
      <c r="W650" s="228"/>
      <c r="X650" s="226"/>
      <c r="Y650" s="226"/>
      <c r="Z650" s="224"/>
      <c r="AA650" s="226"/>
      <c r="AB650" s="226"/>
      <c r="AC650" s="226"/>
      <c r="AD650" s="226"/>
      <c r="AE650" s="227">
        <v>1298</v>
      </c>
      <c r="AF650" s="227">
        <v>825.97524100823</v>
      </c>
      <c r="AG650" s="226" t="s">
        <v>155</v>
      </c>
      <c r="AH650" s="229">
        <v>0.747</v>
      </c>
      <c r="AI650" s="225">
        <f t="shared" si="449"/>
        <v>617.0035050331478</v>
      </c>
      <c r="AJ650" s="226">
        <f t="shared" si="450"/>
        <v>3.327920413742079E-2</v>
      </c>
      <c r="AK650" s="226"/>
      <c r="AL650" s="226">
        <f t="shared" si="451"/>
        <v>173.69688753118714</v>
      </c>
      <c r="AM650" s="228">
        <f t="shared" si="452"/>
        <v>143469.32854095171</v>
      </c>
      <c r="AN650" s="226"/>
      <c r="AO650" s="227">
        <v>1.0552486187845</v>
      </c>
      <c r="AP650" s="225"/>
      <c r="AQ650" s="226">
        <f t="shared" si="453"/>
        <v>871.6092322241293</v>
      </c>
      <c r="AR650" s="226">
        <f t="shared" si="454"/>
        <v>9.2738319440456964E-4</v>
      </c>
      <c r="AS650" s="228">
        <f>AR650*'DADOS BASE'!W$38</f>
        <v>278191.55830811674</v>
      </c>
      <c r="AT650" s="225"/>
      <c r="AU650" s="227">
        <v>234.97350889706999</v>
      </c>
      <c r="AV650" s="227">
        <v>408</v>
      </c>
      <c r="AW650" s="226">
        <f t="shared" si="455"/>
        <v>58.743377224267498</v>
      </c>
      <c r="AX650" s="226">
        <f>IF($AW$11&gt;0,(AW650/$AW$11)*'DADOS BASE'!W$40,0)</f>
        <v>10554.797031982065</v>
      </c>
      <c r="AY650" s="226">
        <f t="shared" si="456"/>
        <v>61.988867678645136</v>
      </c>
      <c r="AZ650" s="226">
        <f t="shared" si="457"/>
        <v>3.2420373357042059E-3</v>
      </c>
      <c r="BA650" s="226">
        <f>AZ650*'DADOS BASE'!W$41</f>
        <v>23951.697753161996</v>
      </c>
      <c r="BB650" s="225"/>
      <c r="BC650" s="227">
        <v>0</v>
      </c>
      <c r="BD650" s="226">
        <f>IF($BC$11&gt;0,(BC650/$BC$11)*'DADOS BASE'!W$39,0)</f>
        <v>0</v>
      </c>
      <c r="BE650" s="187"/>
    </row>
    <row r="651" spans="2:57" x14ac:dyDescent="0.3">
      <c r="B651" s="184" t="s">
        <v>705</v>
      </c>
      <c r="C651" s="184" t="s">
        <v>742</v>
      </c>
      <c r="D651" s="184" t="s">
        <v>94</v>
      </c>
      <c r="E651" s="184">
        <v>2014</v>
      </c>
      <c r="F651" s="185"/>
      <c r="H651" s="186">
        <f ca="1">IF(AND(E651&gt;=2018,SUMIF('DADOS BASE'!$C$101:$D$104,D651,'DADOS BASE'!$H$101:$H$104)&gt;J651),
SUMIF('DADOS BASE'!$C$101:$D$104,D651,'DADOS BASE'!$H$101:$H$104),
J651)</f>
        <v>570752.11335900752</v>
      </c>
      <c r="J651" s="186">
        <f t="shared" si="446"/>
        <v>570752.11335900752</v>
      </c>
      <c r="K651" s="186"/>
      <c r="L651" s="188">
        <v>418.96734027903</v>
      </c>
      <c r="M651" s="186">
        <f t="shared" si="447"/>
        <v>3.2685890234919441E-4</v>
      </c>
      <c r="N651" s="186">
        <f>L651*'DADOS BASE'!$I$29</f>
        <v>412572.27757693065</v>
      </c>
      <c r="O651" s="187"/>
      <c r="P651" s="188">
        <v>237.96483679068999</v>
      </c>
      <c r="Q651" s="186">
        <f>P651*'DADOS BASE'!$I$33</f>
        <v>58583.14315894631</v>
      </c>
      <c r="R651" s="186"/>
      <c r="S651" s="188">
        <v>126.4256097561</v>
      </c>
      <c r="T651" s="186">
        <f>S651*'DADOS BASE'!$I$37</f>
        <v>99596.692623130628</v>
      </c>
      <c r="U651" s="186"/>
      <c r="V651" s="186">
        <f t="shared" si="448"/>
        <v>158179.83578207693</v>
      </c>
      <c r="W651" s="187"/>
      <c r="X651" s="186"/>
      <c r="Y651" s="186"/>
      <c r="Z651" s="185"/>
      <c r="AA651" s="186"/>
      <c r="AB651" s="186"/>
      <c r="AC651" s="186"/>
      <c r="AD651" s="186"/>
      <c r="AE651" s="188">
        <v>433</v>
      </c>
      <c r="AF651" s="188">
        <v>278.59695175229001</v>
      </c>
      <c r="AG651" s="186" t="s">
        <v>155</v>
      </c>
      <c r="AH651" s="189">
        <v>0.73599999999999999</v>
      </c>
      <c r="AI651" s="183">
        <f t="shared" si="449"/>
        <v>205.04735648968546</v>
      </c>
      <c r="AJ651" s="186">
        <f t="shared" si="450"/>
        <v>1.8442469443542976E-2</v>
      </c>
      <c r="AK651" s="186"/>
      <c r="AL651" s="186">
        <f t="shared" si="451"/>
        <v>176.36269822697659</v>
      </c>
      <c r="AM651" s="187">
        <f t="shared" si="452"/>
        <v>49134.110128844681</v>
      </c>
      <c r="AN651" s="186"/>
      <c r="AO651" s="188">
        <v>0</v>
      </c>
      <c r="AQ651" s="186">
        <f t="shared" si="453"/>
        <v>0</v>
      </c>
      <c r="AR651" s="186">
        <f t="shared" si="454"/>
        <v>0</v>
      </c>
      <c r="AS651" s="187">
        <f>AR651*'DADOS BASE'!W$38</f>
        <v>0</v>
      </c>
      <c r="AU651" s="188">
        <v>126.4256097561</v>
      </c>
      <c r="AV651" s="188">
        <v>333</v>
      </c>
      <c r="AW651" s="186">
        <f t="shared" si="455"/>
        <v>31.606402439025</v>
      </c>
      <c r="AX651" s="186">
        <f>IF($AW$11&gt;0,(AW651/$AW$11)*'DADOS BASE'!W$40,0)</f>
        <v>5678.9237939360164</v>
      </c>
      <c r="AY651" s="186">
        <f t="shared" si="456"/>
        <v>0</v>
      </c>
      <c r="AZ651" s="186">
        <f t="shared" si="457"/>
        <v>0</v>
      </c>
      <c r="BA651" s="186">
        <f>AZ651*'DADOS BASE'!W$41</f>
        <v>0</v>
      </c>
      <c r="BC651" s="188">
        <v>0</v>
      </c>
      <c r="BD651" s="186">
        <f>IF($BC$11&gt;0,(BC651/$BC$11)*'DADOS BASE'!W$39,0)</f>
        <v>0</v>
      </c>
      <c r="BE651" s="187"/>
    </row>
    <row r="652" spans="2:57" x14ac:dyDescent="0.3">
      <c r="B652" s="223" t="s">
        <v>705</v>
      </c>
      <c r="C652" s="223" t="s">
        <v>743</v>
      </c>
      <c r="D652" s="223" t="s">
        <v>94</v>
      </c>
      <c r="E652" s="223">
        <v>2014</v>
      </c>
      <c r="F652" s="224"/>
      <c r="G652" s="225"/>
      <c r="H652" s="226">
        <f ca="1">IF(AND(E652&gt;=2018,SUMIF('DADOS BASE'!$C$101:$D$104,D652,'DADOS BASE'!$H$101:$H$104)&gt;J652),
SUMIF('DADOS BASE'!$C$101:$D$104,D652,'DADOS BASE'!$H$101:$H$104),
J652)</f>
        <v>747477.02063782024</v>
      </c>
      <c r="I652" s="225"/>
      <c r="J652" s="226">
        <f t="shared" si="446"/>
        <v>747477.02063782024</v>
      </c>
      <c r="K652" s="226"/>
      <c r="L652" s="227">
        <v>694.84348236164999</v>
      </c>
      <c r="M652" s="226">
        <f t="shared" si="447"/>
        <v>5.4208468325469682E-4</v>
      </c>
      <c r="N652" s="226">
        <f>L652*'DADOS BASE'!$I$29</f>
        <v>684237.48229756765</v>
      </c>
      <c r="O652" s="228"/>
      <c r="P652" s="227">
        <v>160.7504901449</v>
      </c>
      <c r="Q652" s="226">
        <f>P652*'DADOS BASE'!$I$33</f>
        <v>39574.203920357955</v>
      </c>
      <c r="R652" s="226"/>
      <c r="S652" s="227">
        <v>30.040197674419002</v>
      </c>
      <c r="T652" s="226">
        <f>S652*'DADOS BASE'!$I$37</f>
        <v>23665.334419894574</v>
      </c>
      <c r="U652" s="226"/>
      <c r="V652" s="226">
        <f t="shared" si="448"/>
        <v>63239.538340252533</v>
      </c>
      <c r="W652" s="228"/>
      <c r="X652" s="226"/>
      <c r="Y652" s="226"/>
      <c r="Z652" s="224"/>
      <c r="AA652" s="226"/>
      <c r="AB652" s="226"/>
      <c r="AC652" s="226"/>
      <c r="AD652" s="226"/>
      <c r="AE652" s="227">
        <v>510</v>
      </c>
      <c r="AF652" s="227">
        <v>365.74274457104002</v>
      </c>
      <c r="AG652" s="226" t="s">
        <v>155</v>
      </c>
      <c r="AH652" s="229">
        <v>0.77800000000000002</v>
      </c>
      <c r="AI652" s="225">
        <f t="shared" si="449"/>
        <v>284.54785527626916</v>
      </c>
      <c r="AJ652" s="226">
        <f t="shared" si="450"/>
        <v>7.5091820092894626E-2</v>
      </c>
      <c r="AK652" s="226"/>
      <c r="AL652" s="226">
        <f t="shared" si="451"/>
        <v>166.18414829759868</v>
      </c>
      <c r="AM652" s="228">
        <f t="shared" si="452"/>
        <v>60780.646502564472</v>
      </c>
      <c r="AN652" s="226"/>
      <c r="AO652" s="227">
        <v>0</v>
      </c>
      <c r="AP652" s="225"/>
      <c r="AQ652" s="226">
        <f t="shared" si="453"/>
        <v>0</v>
      </c>
      <c r="AR652" s="226">
        <f t="shared" si="454"/>
        <v>0</v>
      </c>
      <c r="AS652" s="228">
        <f>AR652*'DADOS BASE'!W$38</f>
        <v>0</v>
      </c>
      <c r="AT652" s="225"/>
      <c r="AU652" s="227">
        <v>23.698598837209001</v>
      </c>
      <c r="AV652" s="227">
        <v>47.25</v>
      </c>
      <c r="AW652" s="226">
        <f t="shared" si="455"/>
        <v>5.9246497093022503</v>
      </c>
      <c r="AX652" s="226">
        <f>IF($AW$11&gt;0,(AW652/$AW$11)*'DADOS BASE'!W$40,0)</f>
        <v>1064.5195785822741</v>
      </c>
      <c r="AY652" s="226">
        <f t="shared" si="456"/>
        <v>0</v>
      </c>
      <c r="AZ652" s="226">
        <f t="shared" si="457"/>
        <v>0</v>
      </c>
      <c r="BA652" s="226">
        <f>AZ652*'DADOS BASE'!W$41</f>
        <v>0</v>
      </c>
      <c r="BB652" s="225"/>
      <c r="BC652" s="227">
        <v>0</v>
      </c>
      <c r="BD652" s="226">
        <f>IF($BC$11&gt;0,(BC652/$BC$11)*'DADOS BASE'!W$39,0)</f>
        <v>0</v>
      </c>
      <c r="BE652" s="187"/>
    </row>
    <row r="653" spans="2:57" x14ac:dyDescent="0.3">
      <c r="B653" s="184" t="s">
        <v>705</v>
      </c>
      <c r="C653" s="184" t="s">
        <v>744</v>
      </c>
      <c r="D653" s="184" t="s">
        <v>94</v>
      </c>
      <c r="E653" s="184">
        <v>2007</v>
      </c>
      <c r="F653" s="185"/>
      <c r="H653" s="186">
        <f ca="1">IF(AND(E653&gt;=2018,SUMIF('DADOS BASE'!$C$101:$D$104,D653,'DADOS BASE'!$H$101:$H$104)&gt;J653),
SUMIF('DADOS BASE'!$C$101:$D$104,D653,'DADOS BASE'!$H$101:$H$104),
J653)</f>
        <v>2030417.8398584952</v>
      </c>
      <c r="J653" s="186">
        <f t="shared" si="446"/>
        <v>2030417.8398584952</v>
      </c>
      <c r="K653" s="186"/>
      <c r="L653" s="188">
        <v>1871.6147742348001</v>
      </c>
      <c r="M653" s="186">
        <f t="shared" si="447"/>
        <v>1.4601471091266857E-3</v>
      </c>
      <c r="N653" s="186">
        <f>L653*'DADOS BASE'!$I$29</f>
        <v>1843046.6910342439</v>
      </c>
      <c r="O653" s="187"/>
      <c r="P653" s="188">
        <v>176.61569519477999</v>
      </c>
      <c r="Q653" s="186">
        <f>P653*'DADOS BASE'!$I$33</f>
        <v>43479.964078950936</v>
      </c>
      <c r="R653" s="186"/>
      <c r="S653" s="188">
        <v>182.65195651414001</v>
      </c>
      <c r="T653" s="186">
        <f>S653*'DADOS BASE'!$I$37</f>
        <v>143891.1847453003</v>
      </c>
      <c r="U653" s="186"/>
      <c r="V653" s="186">
        <f t="shared" si="448"/>
        <v>187371.14882425123</v>
      </c>
      <c r="W653" s="187"/>
      <c r="X653" s="186"/>
      <c r="Y653" s="186"/>
      <c r="Z653" s="185"/>
      <c r="AA653" s="186"/>
      <c r="AB653" s="186"/>
      <c r="AC653" s="186"/>
      <c r="AD653" s="186"/>
      <c r="AE653" s="188">
        <v>1384</v>
      </c>
      <c r="AF653" s="188">
        <v>863.30691308157998</v>
      </c>
      <c r="AG653" s="186" t="s">
        <v>155</v>
      </c>
      <c r="AH653" s="189">
        <v>0.77600000000000002</v>
      </c>
      <c r="AI653" s="183">
        <f t="shared" si="449"/>
        <v>669.9261645513061</v>
      </c>
      <c r="AJ653" s="186">
        <f t="shared" si="450"/>
        <v>7.2394231966735029E-2</v>
      </c>
      <c r="AK653" s="186"/>
      <c r="AL653" s="186">
        <f t="shared" si="451"/>
        <v>166.66884115137859</v>
      </c>
      <c r="AM653" s="187">
        <f t="shared" si="452"/>
        <v>143886.36276128085</v>
      </c>
      <c r="AN653" s="186"/>
      <c r="AO653" s="188">
        <v>1.4151472650771</v>
      </c>
      <c r="AQ653" s="186">
        <f t="shared" si="453"/>
        <v>1221.7064169695516</v>
      </c>
      <c r="AR653" s="186">
        <f t="shared" si="454"/>
        <v>1.2998829724447459E-3</v>
      </c>
      <c r="AS653" s="187">
        <f>AR653*'DADOS BASE'!W$38</f>
        <v>389932.09269310522</v>
      </c>
      <c r="AU653" s="188">
        <v>182.65195651414001</v>
      </c>
      <c r="AV653" s="188">
        <v>345.75</v>
      </c>
      <c r="AW653" s="186">
        <f t="shared" si="455"/>
        <v>45.662989128535003</v>
      </c>
      <c r="AX653" s="186">
        <f>IF($AW$11&gt;0,(AW653/$AW$11)*'DADOS BASE'!W$40,0)</f>
        <v>8204.5603249073392</v>
      </c>
      <c r="AY653" s="186">
        <f t="shared" si="456"/>
        <v>64.619854180491657</v>
      </c>
      <c r="AZ653" s="186">
        <f t="shared" si="457"/>
        <v>3.37963875976859E-3</v>
      </c>
      <c r="BA653" s="186">
        <f>AZ653*'DADOS BASE'!W$41</f>
        <v>24968.276952697623</v>
      </c>
      <c r="BC653" s="188">
        <v>0</v>
      </c>
      <c r="BD653" s="186">
        <f>IF($BC$11&gt;0,(BC653/$BC$11)*'DADOS BASE'!W$39,0)</f>
        <v>0</v>
      </c>
      <c r="BE653" s="187"/>
    </row>
    <row r="654" spans="2:57" x14ac:dyDescent="0.3">
      <c r="B654" s="223" t="s">
        <v>705</v>
      </c>
      <c r="C654" s="223" t="s">
        <v>745</v>
      </c>
      <c r="D654" s="223" t="s">
        <v>94</v>
      </c>
      <c r="E654" s="223">
        <v>1943</v>
      </c>
      <c r="F654" s="224"/>
      <c r="G654" s="225"/>
      <c r="H654" s="226">
        <f ca="1">IF(AND(E654&gt;=2018,SUMIF('DADOS BASE'!$C$101:$D$104,D654,'DADOS BASE'!$H$101:$H$104)&gt;J654),
SUMIF('DADOS BASE'!$C$101:$D$104,D654,'DADOS BASE'!$H$101:$H$104),
J654)</f>
        <v>6863553.0183630278</v>
      </c>
      <c r="I654" s="225"/>
      <c r="J654" s="226">
        <f t="shared" si="446"/>
        <v>6863553.0183630278</v>
      </c>
      <c r="K654" s="226"/>
      <c r="L654" s="227">
        <v>6810.8471838735004</v>
      </c>
      <c r="M654" s="226">
        <f t="shared" si="447"/>
        <v>5.3135073323528426E-3</v>
      </c>
      <c r="N654" s="226">
        <f>L654*'DADOS BASE'!$I$29</f>
        <v>6706887.3029761501</v>
      </c>
      <c r="O654" s="228"/>
      <c r="P654" s="227">
        <v>636.37642814052003</v>
      </c>
      <c r="Q654" s="226">
        <f>P654*'DADOS BASE'!$I$33</f>
        <v>156665.71538687751</v>
      </c>
      <c r="R654" s="226"/>
      <c r="S654" s="227">
        <v>0</v>
      </c>
      <c r="T654" s="226">
        <f>S654*'DADOS BASE'!$I$37</f>
        <v>0</v>
      </c>
      <c r="U654" s="226"/>
      <c r="V654" s="226">
        <f t="shared" si="448"/>
        <v>156665.71538687751</v>
      </c>
      <c r="W654" s="228"/>
      <c r="X654" s="226"/>
      <c r="Y654" s="226"/>
      <c r="Z654" s="224"/>
      <c r="AA654" s="226"/>
      <c r="AB654" s="226"/>
      <c r="AC654" s="226"/>
      <c r="AD654" s="226"/>
      <c r="AE654" s="227">
        <v>5559</v>
      </c>
      <c r="AF654" s="227">
        <v>2989.3177798923002</v>
      </c>
      <c r="AG654" s="226" t="s">
        <v>155</v>
      </c>
      <c r="AH654" s="229">
        <v>0.73899999999999999</v>
      </c>
      <c r="AI654" s="225">
        <f t="shared" si="449"/>
        <v>2209.1058393404101</v>
      </c>
      <c r="AJ654" s="226">
        <f t="shared" si="450"/>
        <v>2.2488851632782383E-2</v>
      </c>
      <c r="AK654" s="226"/>
      <c r="AL654" s="226">
        <f t="shared" si="451"/>
        <v>175.63565894630673</v>
      </c>
      <c r="AM654" s="228">
        <f t="shared" si="452"/>
        <v>525030.79807129491</v>
      </c>
      <c r="AN654" s="226"/>
      <c r="AO654" s="227">
        <v>1.8382616487454999</v>
      </c>
      <c r="AP654" s="225"/>
      <c r="AQ654" s="226">
        <f t="shared" si="453"/>
        <v>5495.1482306890575</v>
      </c>
      <c r="AR654" s="226">
        <f t="shared" si="454"/>
        <v>5.846780795218335E-3</v>
      </c>
      <c r="AS654" s="228">
        <f>AR654*'DADOS BASE'!W$38</f>
        <v>1753886.7108240798</v>
      </c>
      <c r="AT654" s="225"/>
      <c r="AU654" s="227">
        <v>0</v>
      </c>
      <c r="AV654" s="227">
        <v>280</v>
      </c>
      <c r="AW654" s="226">
        <f t="shared" si="455"/>
        <v>0</v>
      </c>
      <c r="AX654" s="226">
        <f>IF($AW$11&gt;0,(AW654/$AW$11)*'DADOS BASE'!W$40,0)</f>
        <v>0</v>
      </c>
      <c r="AY654" s="226">
        <f t="shared" si="456"/>
        <v>0</v>
      </c>
      <c r="AZ654" s="226">
        <f t="shared" si="457"/>
        <v>0</v>
      </c>
      <c r="BA654" s="226">
        <f>AZ654*'DADOS BASE'!W$41</f>
        <v>0</v>
      </c>
      <c r="BB654" s="225"/>
      <c r="BC654" s="227">
        <v>0</v>
      </c>
      <c r="BD654" s="226">
        <f>IF($BC$11&gt;0,(BC654/$BC$11)*'DADOS BASE'!W$39,0)</f>
        <v>0</v>
      </c>
      <c r="BE654" s="187"/>
    </row>
    <row r="655" spans="2:57" x14ac:dyDescent="0.3">
      <c r="B655" s="184" t="s">
        <v>705</v>
      </c>
      <c r="C655" s="184" t="s">
        <v>746</v>
      </c>
      <c r="D655" s="184" t="s">
        <v>92</v>
      </c>
      <c r="E655" s="184">
        <v>1923</v>
      </c>
      <c r="F655" s="185"/>
      <c r="H655" s="186">
        <f ca="1">IF(AND(E655&gt;=2018,SUMIF('DADOS BASE'!$C$101:$D$104,D655,'DADOS BASE'!$H$101:$H$104)&gt;J655),
SUMIF('DADOS BASE'!$C$101:$D$104,D655,'DADOS BASE'!$H$101:$H$104),
J655)</f>
        <v>3135245.1119425087</v>
      </c>
      <c r="J655" s="186">
        <f t="shared" si="446"/>
        <v>3135245.1119425087</v>
      </c>
      <c r="K655" s="186"/>
      <c r="L655" s="188">
        <v>3135.7512493812001</v>
      </c>
      <c r="M655" s="186">
        <f t="shared" si="447"/>
        <v>2.4463678021543257E-3</v>
      </c>
      <c r="N655" s="186">
        <f>L655*'DADOS BASE'!$I$29</f>
        <v>3087887.5523096723</v>
      </c>
      <c r="O655" s="187"/>
      <c r="P655" s="188">
        <v>192.3664955678</v>
      </c>
      <c r="Q655" s="186">
        <f>P655*'DADOS BASE'!$I$33</f>
        <v>47357.559632836215</v>
      </c>
      <c r="R655" s="186"/>
      <c r="S655" s="188">
        <v>0</v>
      </c>
      <c r="T655" s="186">
        <f>S655*'DADOS BASE'!$I$37</f>
        <v>0</v>
      </c>
      <c r="U655" s="186"/>
      <c r="V655" s="186">
        <f t="shared" si="448"/>
        <v>47357.559632836215</v>
      </c>
      <c r="W655" s="187"/>
      <c r="X655" s="186"/>
      <c r="Y655" s="186"/>
      <c r="Z655" s="185"/>
      <c r="AA655" s="186"/>
      <c r="AB655" s="186"/>
      <c r="AC655" s="186"/>
      <c r="AD655" s="186"/>
      <c r="AE655" s="188">
        <v>1482</v>
      </c>
      <c r="AF655" s="188">
        <v>1129.6109053681</v>
      </c>
      <c r="AG655" s="186" t="s">
        <v>155</v>
      </c>
      <c r="AH655" s="189">
        <v>0.73899999999999999</v>
      </c>
      <c r="AI655" s="183">
        <f t="shared" si="449"/>
        <v>834.78245906702591</v>
      </c>
      <c r="AJ655" s="186">
        <f t="shared" si="450"/>
        <v>2.2488851632782383E-2</v>
      </c>
      <c r="AK655" s="186"/>
      <c r="AL655" s="186">
        <f t="shared" si="451"/>
        <v>175.63565894630673</v>
      </c>
      <c r="AM655" s="187">
        <f t="shared" si="452"/>
        <v>198399.9557172604</v>
      </c>
      <c r="AN655" s="186"/>
      <c r="AO655" s="188">
        <v>1.5134228187919001</v>
      </c>
      <c r="AQ655" s="186">
        <f t="shared" si="453"/>
        <v>1709.5789205402602</v>
      </c>
      <c r="AR655" s="186">
        <f t="shared" si="454"/>
        <v>1.8189742625507861E-3</v>
      </c>
      <c r="AS655" s="187">
        <f>AR655*'DADOS BASE'!W$38</f>
        <v>545646.38185648294</v>
      </c>
      <c r="AU655" s="188">
        <v>0</v>
      </c>
      <c r="AV655" s="188">
        <v>34.25</v>
      </c>
      <c r="AW655" s="186">
        <f t="shared" si="455"/>
        <v>0</v>
      </c>
      <c r="AX655" s="186">
        <f>IF($AW$11&gt;0,(AW655/$AW$11)*'DADOS BASE'!W$40,0)</f>
        <v>0</v>
      </c>
      <c r="AY655" s="186">
        <f t="shared" si="456"/>
        <v>0</v>
      </c>
      <c r="AZ655" s="186">
        <f t="shared" si="457"/>
        <v>0</v>
      </c>
      <c r="BA655" s="186">
        <f>AZ655*'DADOS BASE'!W$41</f>
        <v>0</v>
      </c>
      <c r="BC655" s="188">
        <v>90</v>
      </c>
      <c r="BD655" s="186">
        <f>IF($BC$11&gt;0,(BC655/$BC$11)*'DADOS BASE'!W$39,0)</f>
        <v>486288.36112625897</v>
      </c>
      <c r="BE655" s="187"/>
    </row>
    <row r="656" spans="2:57" x14ac:dyDescent="0.3">
      <c r="B656" s="223" t="s">
        <v>705</v>
      </c>
      <c r="C656" s="223" t="s">
        <v>747</v>
      </c>
      <c r="D656" s="223" t="s">
        <v>94</v>
      </c>
      <c r="E656" s="223">
        <v>2010</v>
      </c>
      <c r="F656" s="224"/>
      <c r="G656" s="225"/>
      <c r="H656" s="226">
        <f ca="1">IF(AND(E656&gt;=2018,SUMIF('DADOS BASE'!$C$101:$D$104,D656,'DADOS BASE'!$H$101:$H$104)&gt;J656),
SUMIF('DADOS BASE'!$C$101:$D$104,D656,'DADOS BASE'!$H$101:$H$104),
J656)</f>
        <v>2104929.9468696918</v>
      </c>
      <c r="I656" s="225"/>
      <c r="J656" s="226">
        <f t="shared" si="446"/>
        <v>2104929.9468696918</v>
      </c>
      <c r="K656" s="226"/>
      <c r="L656" s="227">
        <v>1998.6218548579</v>
      </c>
      <c r="M656" s="226">
        <f t="shared" si="447"/>
        <v>1.5592321474387279E-3</v>
      </c>
      <c r="N656" s="226">
        <f>L656*'DADOS BASE'!$I$29</f>
        <v>1968115.1521848706</v>
      </c>
      <c r="O656" s="228"/>
      <c r="P656" s="227">
        <v>0</v>
      </c>
      <c r="Q656" s="226">
        <f>P656*'DADOS BASE'!$I$33</f>
        <v>0</v>
      </c>
      <c r="R656" s="226"/>
      <c r="S656" s="227">
        <v>173.66935975609999</v>
      </c>
      <c r="T656" s="226">
        <f>S656*'DADOS BASE'!$I$37</f>
        <v>136814.79468482145</v>
      </c>
      <c r="U656" s="226"/>
      <c r="V656" s="226">
        <f t="shared" si="448"/>
        <v>136814.79468482145</v>
      </c>
      <c r="W656" s="228"/>
      <c r="X656" s="226"/>
      <c r="Y656" s="226"/>
      <c r="Z656" s="224"/>
      <c r="AA656" s="226"/>
      <c r="AB656" s="226"/>
      <c r="AC656" s="226"/>
      <c r="AD656" s="226"/>
      <c r="AE656" s="227">
        <v>1322</v>
      </c>
      <c r="AF656" s="227">
        <v>802.49527747402999</v>
      </c>
      <c r="AG656" s="226" t="s">
        <v>155</v>
      </c>
      <c r="AH656" s="229">
        <v>0.72699999999999998</v>
      </c>
      <c r="AI656" s="225">
        <f t="shared" si="449"/>
        <v>583.41406672361984</v>
      </c>
      <c r="AJ656" s="226">
        <f t="shared" si="450"/>
        <v>6.3033228758247652E-3</v>
      </c>
      <c r="AK656" s="226"/>
      <c r="AL656" s="226">
        <f t="shared" si="451"/>
        <v>178.54381606898616</v>
      </c>
      <c r="AM656" s="228">
        <f t="shared" si="452"/>
        <v>143280.56921755322</v>
      </c>
      <c r="AN656" s="226"/>
      <c r="AO656" s="227">
        <v>0.45098039215685998</v>
      </c>
      <c r="AP656" s="225"/>
      <c r="AQ656" s="226">
        <f t="shared" si="453"/>
        <v>361.9096349392662</v>
      </c>
      <c r="AR656" s="226">
        <f t="shared" si="454"/>
        <v>3.8506810268556596E-4</v>
      </c>
      <c r="AS656" s="228">
        <f>AR656*'DADOS BASE'!W$38</f>
        <v>115510.71465083654</v>
      </c>
      <c r="AT656" s="225"/>
      <c r="AU656" s="227">
        <v>173.66935975609999</v>
      </c>
      <c r="AV656" s="227">
        <v>361.25</v>
      </c>
      <c r="AW656" s="226">
        <f t="shared" si="455"/>
        <v>43.417339939024998</v>
      </c>
      <c r="AX656" s="226">
        <f>IF($AW$11&gt;0,(AW656/$AW$11)*'DADOS BASE'!W$40,0)</f>
        <v>7801.0702206556989</v>
      </c>
      <c r="AY656" s="226">
        <f t="shared" si="456"/>
        <v>19.580368992109193</v>
      </c>
      <c r="AZ656" s="226">
        <f t="shared" si="457"/>
        <v>1.0240594754588749E-3</v>
      </c>
      <c r="BA656" s="226">
        <f>AZ656*'DADOS BASE'!W$41</f>
        <v>7565.6016565043174</v>
      </c>
      <c r="BB656" s="225"/>
      <c r="BC656" s="227">
        <v>0</v>
      </c>
      <c r="BD656" s="226">
        <f>IF($BC$11&gt;0,(BC656/$BC$11)*'DADOS BASE'!W$39,0)</f>
        <v>0</v>
      </c>
      <c r="BE656" s="187"/>
    </row>
    <row r="657" spans="2:57" x14ac:dyDescent="0.3">
      <c r="B657" s="184" t="s">
        <v>705</v>
      </c>
      <c r="C657" s="184" t="s">
        <v>748</v>
      </c>
      <c r="D657" s="184" t="s">
        <v>94</v>
      </c>
      <c r="E657" s="184">
        <v>2013</v>
      </c>
      <c r="F657" s="185"/>
      <c r="H657" s="186">
        <f ca="1">IF(AND(E657&gt;=2018,SUMIF('DADOS BASE'!$C$101:$D$104,D657,'DADOS BASE'!$H$101:$H$104)&gt;J657),
SUMIF('DADOS BASE'!$C$101:$D$104,D657,'DADOS BASE'!$H$101:$H$104),
J657)</f>
        <v>914425.94039516163</v>
      </c>
      <c r="J657" s="186">
        <f t="shared" si="446"/>
        <v>914425.94039516163</v>
      </c>
      <c r="K657" s="186"/>
      <c r="L657" s="188">
        <v>707.61861017715</v>
      </c>
      <c r="M657" s="186">
        <f t="shared" si="447"/>
        <v>5.5205124592844614E-4</v>
      </c>
      <c r="N657" s="186">
        <f>L657*'DADOS BASE'!$I$29</f>
        <v>696817.61223243806</v>
      </c>
      <c r="O657" s="187"/>
      <c r="P657" s="188">
        <v>47.949361313868998</v>
      </c>
      <c r="Q657" s="186">
        <f>P657*'DADOS BASE'!$I$33</f>
        <v>11804.367133036558</v>
      </c>
      <c r="R657" s="186"/>
      <c r="S657" s="188">
        <v>261.24252300077001</v>
      </c>
      <c r="T657" s="186">
        <f>S657*'DADOS BASE'!$I$37</f>
        <v>205803.96102968699</v>
      </c>
      <c r="U657" s="186"/>
      <c r="V657" s="186">
        <f t="shared" si="448"/>
        <v>217608.32816272354</v>
      </c>
      <c r="W657" s="187"/>
      <c r="X657" s="186"/>
      <c r="Y657" s="186"/>
      <c r="Z657" s="185"/>
      <c r="AA657" s="186"/>
      <c r="AB657" s="186"/>
      <c r="AC657" s="186"/>
      <c r="AD657" s="186"/>
      <c r="AE657" s="188">
        <v>456</v>
      </c>
      <c r="AF657" s="188">
        <v>352.59937872782001</v>
      </c>
      <c r="AG657" s="186" t="s">
        <v>155</v>
      </c>
      <c r="AH657" s="189">
        <v>0.71099999999999997</v>
      </c>
      <c r="AI657" s="183">
        <f t="shared" si="449"/>
        <v>250.69815827548001</v>
      </c>
      <c r="AJ657" s="186">
        <f t="shared" si="450"/>
        <v>-1.5277382133452056E-2</v>
      </c>
      <c r="AK657" s="186"/>
      <c r="AL657" s="186">
        <f t="shared" si="451"/>
        <v>182.42135889922537</v>
      </c>
      <c r="AM657" s="187">
        <f t="shared" si="452"/>
        <v>64321.657814551545</v>
      </c>
      <c r="AN657" s="186"/>
      <c r="AO657" s="188">
        <v>0</v>
      </c>
      <c r="AQ657" s="186">
        <f t="shared" si="453"/>
        <v>0</v>
      </c>
      <c r="AR657" s="186">
        <f t="shared" si="454"/>
        <v>0</v>
      </c>
      <c r="AS657" s="187">
        <f>AR657*'DADOS BASE'!W$38</f>
        <v>0</v>
      </c>
      <c r="AU657" s="188">
        <v>178.90103359055001</v>
      </c>
      <c r="AV657" s="188">
        <v>209</v>
      </c>
      <c r="AW657" s="186">
        <f t="shared" si="455"/>
        <v>44.725258397637504</v>
      </c>
      <c r="AX657" s="186">
        <f>IF($AW$11&gt;0,(AW657/$AW$11)*'DADOS BASE'!W$40,0)</f>
        <v>8036.0722671389067</v>
      </c>
      <c r="AY657" s="186">
        <f t="shared" si="456"/>
        <v>0</v>
      </c>
      <c r="AZ657" s="186">
        <f t="shared" si="457"/>
        <v>0</v>
      </c>
      <c r="BA657" s="186">
        <f>AZ657*'DADOS BASE'!W$41</f>
        <v>0</v>
      </c>
      <c r="BC657" s="188">
        <v>0</v>
      </c>
      <c r="BD657" s="186">
        <f>IF($BC$11&gt;0,(BC657/$BC$11)*'DADOS BASE'!W$39,0)</f>
        <v>0</v>
      </c>
      <c r="BE657" s="187"/>
    </row>
    <row r="658" spans="2:57" x14ac:dyDescent="0.3">
      <c r="B658" s="223" t="s">
        <v>705</v>
      </c>
      <c r="C658" s="223" t="s">
        <v>749</v>
      </c>
      <c r="D658" s="223" t="s">
        <v>94</v>
      </c>
      <c r="E658" s="223">
        <v>1996</v>
      </c>
      <c r="F658" s="224"/>
      <c r="G658" s="225"/>
      <c r="H658" s="226">
        <f ca="1">IF(AND(E658&gt;=2018,SUMIF('DADOS BASE'!$C$101:$D$104,D658,'DADOS BASE'!$H$101:$H$104)&gt;J658),
SUMIF('DADOS BASE'!$C$101:$D$104,D658,'DADOS BASE'!$H$101:$H$104),
J658)</f>
        <v>3423776.3117510644</v>
      </c>
      <c r="I658" s="225"/>
      <c r="J658" s="226">
        <f t="shared" si="446"/>
        <v>3423776.3117510644</v>
      </c>
      <c r="K658" s="226"/>
      <c r="L658" s="227">
        <v>2694.2190366011</v>
      </c>
      <c r="M658" s="226">
        <f t="shared" si="447"/>
        <v>2.1019048320216204E-3</v>
      </c>
      <c r="N658" s="226">
        <f>L658*'DADOS BASE'!$I$29</f>
        <v>2653094.8294951743</v>
      </c>
      <c r="O658" s="228"/>
      <c r="P658" s="227">
        <v>173.375</v>
      </c>
      <c r="Q658" s="226">
        <f>P658*'DADOS BASE'!$I$33</f>
        <v>42682.156667189112</v>
      </c>
      <c r="R658" s="226"/>
      <c r="S658" s="227">
        <v>924.10456828970996</v>
      </c>
      <c r="T658" s="226">
        <f>S658*'DADOS BASE'!$I$37</f>
        <v>727999.32558870071</v>
      </c>
      <c r="U658" s="226"/>
      <c r="V658" s="226">
        <f t="shared" si="448"/>
        <v>770681.4822558898</v>
      </c>
      <c r="W658" s="228"/>
      <c r="X658" s="226"/>
      <c r="Y658" s="226"/>
      <c r="Z658" s="224"/>
      <c r="AA658" s="226"/>
      <c r="AB658" s="226"/>
      <c r="AC658" s="226"/>
      <c r="AD658" s="226"/>
      <c r="AE658" s="227">
        <v>1714</v>
      </c>
      <c r="AF658" s="227">
        <v>1266.4436432729001</v>
      </c>
      <c r="AG658" s="226" t="s">
        <v>155</v>
      </c>
      <c r="AH658" s="229">
        <v>0.72599999999999998</v>
      </c>
      <c r="AI658" s="225">
        <f t="shared" si="449"/>
        <v>919.43808501612546</v>
      </c>
      <c r="AJ658" s="226">
        <f t="shared" si="450"/>
        <v>4.9545288127449639E-3</v>
      </c>
      <c r="AK658" s="226"/>
      <c r="AL658" s="226">
        <f t="shared" si="451"/>
        <v>178.78616249587608</v>
      </c>
      <c r="AM658" s="228">
        <f t="shared" si="452"/>
        <v>226422.59899805803</v>
      </c>
      <c r="AN658" s="226"/>
      <c r="AO658" s="227">
        <v>0.63694267515923997</v>
      </c>
      <c r="AP658" s="225"/>
      <c r="AQ658" s="226">
        <f t="shared" si="453"/>
        <v>806.65200208465524</v>
      </c>
      <c r="AR658" s="226">
        <f t="shared" si="454"/>
        <v>8.5826937440440726E-4</v>
      </c>
      <c r="AS658" s="228">
        <f>AR658*'DADOS BASE'!W$38</f>
        <v>257459.15620887821</v>
      </c>
      <c r="AT658" s="225"/>
      <c r="AU658" s="227">
        <v>920.45297012047001</v>
      </c>
      <c r="AV658" s="227">
        <v>2240</v>
      </c>
      <c r="AW658" s="226">
        <f t="shared" si="455"/>
        <v>230.1132425301175</v>
      </c>
      <c r="AX658" s="226">
        <f>IF($AW$11&gt;0,(AW658/$AW$11)*'DADOS BASE'!W$40,0)</f>
        <v>41345.913089131885</v>
      </c>
      <c r="AY658" s="226">
        <f t="shared" si="456"/>
        <v>146.56894428670003</v>
      </c>
      <c r="AZ658" s="226">
        <f t="shared" si="457"/>
        <v>7.6656020254412399E-3</v>
      </c>
      <c r="BA658" s="226">
        <f>AZ658*'DADOS BASE'!W$41</f>
        <v>56632.346823209598</v>
      </c>
      <c r="BB658" s="225"/>
      <c r="BC658" s="227">
        <v>0</v>
      </c>
      <c r="BD658" s="226">
        <f>IF($BC$11&gt;0,(BC658/$BC$11)*'DADOS BASE'!W$39,0)</f>
        <v>0</v>
      </c>
      <c r="BE658" s="187"/>
    </row>
    <row r="659" spans="2:57" x14ac:dyDescent="0.3">
      <c r="B659" s="184" t="s">
        <v>705</v>
      </c>
      <c r="C659" s="184" t="s">
        <v>750</v>
      </c>
      <c r="D659" s="184" t="s">
        <v>94</v>
      </c>
      <c r="E659" s="184">
        <v>2010</v>
      </c>
      <c r="F659" s="185"/>
      <c r="H659" s="186">
        <f ca="1">IF(AND(E659&gt;=2018,SUMIF('DADOS BASE'!$C$101:$D$104,D659,'DADOS BASE'!$H$101:$H$104)&gt;J659),
SUMIF('DADOS BASE'!$C$101:$D$104,D659,'DADOS BASE'!$H$101:$H$104),
J659)</f>
        <v>1084923.3665121549</v>
      </c>
      <c r="J659" s="186">
        <f t="shared" si="446"/>
        <v>1084923.3665121549</v>
      </c>
      <c r="K659" s="186"/>
      <c r="L659" s="188">
        <v>793.60023768531005</v>
      </c>
      <c r="M659" s="186">
        <f t="shared" si="447"/>
        <v>6.1913012699539864E-4</v>
      </c>
      <c r="N659" s="186">
        <f>L659*'DADOS BASE'!$I$29</f>
        <v>781486.82742039894</v>
      </c>
      <c r="O659" s="187"/>
      <c r="P659" s="188">
        <v>287.52082584111002</v>
      </c>
      <c r="Q659" s="186">
        <f>P659*'DADOS BASE'!$I$33</f>
        <v>70783.036387194545</v>
      </c>
      <c r="R659" s="186"/>
      <c r="S659" s="188">
        <v>295.32467561563999</v>
      </c>
      <c r="T659" s="186">
        <f>S659*'DADOS BASE'!$I$37</f>
        <v>232653.50270456154</v>
      </c>
      <c r="U659" s="186"/>
      <c r="V659" s="186">
        <f t="shared" si="448"/>
        <v>303436.5390917561</v>
      </c>
      <c r="W659" s="187"/>
      <c r="X659" s="186"/>
      <c r="Y659" s="186"/>
      <c r="Z659" s="185"/>
      <c r="AA659" s="186"/>
      <c r="AB659" s="186"/>
      <c r="AC659" s="186"/>
      <c r="AD659" s="186"/>
      <c r="AE659" s="188">
        <v>768</v>
      </c>
      <c r="AF659" s="188">
        <v>395.15734013820997</v>
      </c>
      <c r="AG659" s="186" t="s">
        <v>155</v>
      </c>
      <c r="AH659" s="189">
        <v>0.71199999999999997</v>
      </c>
      <c r="AI659" s="183">
        <f t="shared" si="449"/>
        <v>281.35202617840548</v>
      </c>
      <c r="AJ659" s="186">
        <f t="shared" si="450"/>
        <v>-1.3928588070372254E-2</v>
      </c>
      <c r="AK659" s="186"/>
      <c r="AL659" s="186">
        <f t="shared" si="451"/>
        <v>182.17901247233542</v>
      </c>
      <c r="AM659" s="187">
        <f t="shared" si="452"/>
        <v>71989.373997573843</v>
      </c>
      <c r="AN659" s="186"/>
      <c r="AO659" s="188">
        <v>1.5821181887950999</v>
      </c>
      <c r="AQ659" s="186">
        <f t="shared" si="453"/>
        <v>625.18561526855399</v>
      </c>
      <c r="AR659" s="186">
        <f t="shared" si="454"/>
        <v>6.6519101857614223E-4</v>
      </c>
      <c r="AS659" s="187">
        <f>AR659*'DADOS BASE'!W$38</f>
        <v>199540.52127187073</v>
      </c>
      <c r="AU659" s="188">
        <v>295.32467561563999</v>
      </c>
      <c r="AV659" s="188">
        <v>565.25</v>
      </c>
      <c r="AW659" s="186">
        <f t="shared" si="455"/>
        <v>73.831168903909997</v>
      </c>
      <c r="AX659" s="186">
        <f>IF($AW$11&gt;0,(AW659/$AW$11)*'DADOS BASE'!W$40,0)</f>
        <v>13265.716736708662</v>
      </c>
      <c r="AY659" s="186">
        <f t="shared" si="456"/>
        <v>116.80963522287918</v>
      </c>
      <c r="AZ659" s="186">
        <f t="shared" si="457"/>
        <v>6.1091807730023128E-3</v>
      </c>
      <c r="BA659" s="186">
        <f>AZ659*'DADOS BASE'!W$41</f>
        <v>45133.734205623055</v>
      </c>
      <c r="BC659" s="188">
        <v>0</v>
      </c>
      <c r="BD659" s="186">
        <f>IF($BC$11&gt;0,(BC659/$BC$11)*'DADOS BASE'!W$39,0)</f>
        <v>0</v>
      </c>
      <c r="BE659" s="187"/>
    </row>
    <row r="660" spans="2:57" x14ac:dyDescent="0.3">
      <c r="B660" s="223" t="s">
        <v>705</v>
      </c>
      <c r="C660" s="223" t="s">
        <v>751</v>
      </c>
      <c r="D660" s="223" t="s">
        <v>209</v>
      </c>
      <c r="E660" s="223">
        <v>0</v>
      </c>
      <c r="F660" s="224"/>
      <c r="G660" s="225"/>
      <c r="H660" s="226">
        <f ca="1">IF(AND(E660&gt;=2018,SUMIF('DADOS BASE'!$C$101:$D$104,D660,'DADOS BASE'!$H$101:$H$104)&gt;J660),
SUMIF('DADOS BASE'!$C$101:$D$104,D660,'DADOS BASE'!$H$101:$H$104),
J660)</f>
        <v>4696779.2807896361</v>
      </c>
      <c r="I660" s="225"/>
      <c r="J660" s="226">
        <f t="shared" si="446"/>
        <v>4696779.2807896361</v>
      </c>
      <c r="K660" s="226"/>
      <c r="L660" s="227">
        <v>143.92284176421001</v>
      </c>
      <c r="M660" s="226">
        <f t="shared" si="447"/>
        <v>1.1228193121377064E-4</v>
      </c>
      <c r="N660" s="226">
        <f>L660*'DADOS BASE'!$I$29</f>
        <v>141726.02232541208</v>
      </c>
      <c r="O660" s="228"/>
      <c r="P660" s="227">
        <v>2.4581143232588998</v>
      </c>
      <c r="Q660" s="226">
        <f>P660*'DADOS BASE'!$I$33</f>
        <v>605.14849690669303</v>
      </c>
      <c r="R660" s="226"/>
      <c r="S660" s="227">
        <v>5781.3052245011004</v>
      </c>
      <c r="T660" s="226">
        <f>S660*'DADOS BASE'!$I$37</f>
        <v>4554448.1099673174</v>
      </c>
      <c r="U660" s="226"/>
      <c r="V660" s="226">
        <f t="shared" si="448"/>
        <v>4555053.2584642237</v>
      </c>
      <c r="W660" s="228"/>
      <c r="X660" s="226"/>
      <c r="Y660" s="226"/>
      <c r="Z660" s="224"/>
      <c r="AA660" s="226"/>
      <c r="AB660" s="226"/>
      <c r="AC660" s="226"/>
      <c r="AD660" s="226"/>
      <c r="AE660" s="227">
        <v>28</v>
      </c>
      <c r="AF660" s="227">
        <v>38.379424470457003</v>
      </c>
      <c r="AG660" s="226" t="s">
        <v>155</v>
      </c>
      <c r="AH660" s="229">
        <v>0.73899999999999999</v>
      </c>
      <c r="AI660" s="225">
        <f t="shared" si="449"/>
        <v>28.362394683667723</v>
      </c>
      <c r="AJ660" s="226">
        <f t="shared" si="450"/>
        <v>2.2488851632782383E-2</v>
      </c>
      <c r="AK660" s="226"/>
      <c r="AL660" s="226">
        <f t="shared" si="451"/>
        <v>175.63565894630673</v>
      </c>
      <c r="AM660" s="228">
        <f t="shared" si="452"/>
        <v>6740.7955068487254</v>
      </c>
      <c r="AN660" s="226"/>
      <c r="AO660" s="227">
        <v>1.6439646858076</v>
      </c>
      <c r="AP660" s="225"/>
      <c r="AQ660" s="226">
        <f t="shared" si="453"/>
        <v>63.094418491051364</v>
      </c>
      <c r="AR660" s="226">
        <f t="shared" si="454"/>
        <v>6.7131807702426621E-5</v>
      </c>
      <c r="AS660" s="228">
        <f>AR660*'DADOS BASE'!W$38</f>
        <v>20137.8484206516</v>
      </c>
      <c r="AT660" s="225"/>
      <c r="AU660" s="227">
        <v>4067.8893154102002</v>
      </c>
      <c r="AV660" s="227">
        <v>5958.25</v>
      </c>
      <c r="AW660" s="226">
        <f t="shared" si="455"/>
        <v>1016.97232885255</v>
      </c>
      <c r="AX660" s="226">
        <f>IF($AW$11&gt;0,(AW660/$AW$11)*'DADOS BASE'!W$40,0)</f>
        <v>182725.90078029229</v>
      </c>
      <c r="AY660" s="226">
        <f t="shared" si="456"/>
        <v>1671.8665950771058</v>
      </c>
      <c r="AZ660" s="226">
        <f t="shared" si="457"/>
        <v>8.7439150359313531E-2</v>
      </c>
      <c r="BA660" s="226">
        <f>AZ660*'DADOS BASE'!W$41</f>
        <v>645987.65663031931</v>
      </c>
      <c r="BB660" s="225"/>
      <c r="BC660" s="227">
        <v>0</v>
      </c>
      <c r="BD660" s="226">
        <f>IF($BC$11&gt;0,(BC660/$BC$11)*'DADOS BASE'!W$39,0)</f>
        <v>0</v>
      </c>
      <c r="BE660" s="187"/>
    </row>
    <row r="661" spans="2:57" x14ac:dyDescent="0.3">
      <c r="F661" s="185"/>
      <c r="H661" s="186"/>
      <c r="J661" s="186"/>
      <c r="K661" s="186"/>
      <c r="L661" s="186"/>
      <c r="M661" s="186"/>
      <c r="N661" s="186"/>
      <c r="O661" s="187"/>
      <c r="P661" s="186"/>
      <c r="Q661" s="186"/>
      <c r="R661" s="186"/>
      <c r="S661" s="186"/>
      <c r="T661" s="186"/>
      <c r="U661" s="186"/>
      <c r="V661" s="186"/>
      <c r="W661" s="187"/>
      <c r="X661" s="186"/>
      <c r="Y661" s="186"/>
      <c r="Z661" s="185"/>
      <c r="AA661" s="186"/>
      <c r="AB661" s="186"/>
      <c r="AC661" s="186"/>
      <c r="AD661" s="186"/>
      <c r="AE661" s="186"/>
      <c r="AF661" s="186"/>
      <c r="AG661" s="186"/>
      <c r="AH661" s="185"/>
      <c r="AJ661" s="186"/>
      <c r="AK661" s="186"/>
      <c r="AL661" s="186"/>
      <c r="AM661" s="187"/>
      <c r="AN661" s="186"/>
      <c r="AO661" s="186"/>
      <c r="AQ661" s="186"/>
      <c r="AR661" s="186"/>
      <c r="AS661" s="187"/>
      <c r="AU661" s="186"/>
      <c r="AV661" s="186"/>
      <c r="AW661" s="186"/>
      <c r="AX661" s="186"/>
      <c r="AY661" s="186"/>
      <c r="AZ661" s="186"/>
      <c r="BA661" s="186"/>
      <c r="BC661" s="186"/>
      <c r="BD661" s="186"/>
      <c r="BE661" s="187"/>
    </row>
    <row r="662" spans="2:57" x14ac:dyDescent="0.3">
      <c r="B662" s="209" t="s">
        <v>752</v>
      </c>
      <c r="C662" s="209" t="s">
        <v>753</v>
      </c>
      <c r="D662" s="211" t="s">
        <v>154</v>
      </c>
      <c r="E662" s="211"/>
      <c r="F662" s="210"/>
      <c r="G662" s="211"/>
      <c r="H662" s="212">
        <f ca="1">SUM(H663:H678)</f>
        <v>37477167.996512279</v>
      </c>
      <c r="I662" s="211"/>
      <c r="J662" s="212">
        <f>SUM(J663:J678)</f>
        <v>37477167.996512279</v>
      </c>
      <c r="K662" s="212"/>
      <c r="L662" s="212">
        <f>SUM(L663:L678)</f>
        <v>37956.769437086805</v>
      </c>
      <c r="M662" s="212">
        <f>SUM(M663:M678)</f>
        <v>2.9612112454075717E-2</v>
      </c>
      <c r="N662" s="212">
        <f>SUM(N663:N678)</f>
        <v>37377402.271241292</v>
      </c>
      <c r="O662" s="214"/>
      <c r="P662" s="212">
        <f>SUM(P663:P678)</f>
        <v>0</v>
      </c>
      <c r="Q662" s="212">
        <f>SUM(Q663:Q678)</f>
        <v>0</v>
      </c>
      <c r="R662" s="212"/>
      <c r="S662" s="212">
        <f>SUM(S663:S678)</f>
        <v>126.64017567200003</v>
      </c>
      <c r="T662" s="212">
        <f>SUM(T663:T678)</f>
        <v>99765.725270981988</v>
      </c>
      <c r="U662" s="212"/>
      <c r="V662" s="212">
        <f>SUM(V663:V678)</f>
        <v>99765.725270981988</v>
      </c>
      <c r="W662" s="214"/>
      <c r="X662" s="212">
        <f>SUMIF(INDICADORES!$D$13:$D$53,C662,INDICADORES!$L$13:$L$53)</f>
        <v>5.5738488990268759E-2</v>
      </c>
      <c r="Y662" s="212">
        <f>X662*'DADOS BASE'!$I$79</f>
        <v>2314441.3475651662</v>
      </c>
      <c r="Z662" s="210">
        <f>SUMIF(INDICADORES!$D$13:$D$53,C662,INDICADORES!$R$13:$R$53)</f>
        <v>2.4414006533325688E-2</v>
      </c>
      <c r="AA662" s="212">
        <f>Z662*'DADOS BASE'!$I$84</f>
        <v>1013748.0797213592</v>
      </c>
      <c r="AB662" s="212">
        <f>SUMIF(INDICADORES!$D$13:$D$53,C662,INDICADORES!$Z$13:$Z$53)</f>
        <v>2.2524006686141557E-3</v>
      </c>
      <c r="AC662" s="212">
        <f>AB662*'DADOS BASE'!$I$89</f>
        <v>187053.84136387912</v>
      </c>
      <c r="AD662" s="212"/>
      <c r="AE662" s="212">
        <f>SUM(AE663:AE678)</f>
        <v>17394</v>
      </c>
      <c r="AF662" s="212">
        <f>SUM(AF663:AF678)</f>
        <v>14984.76754418336</v>
      </c>
      <c r="AG662" s="212" t="s">
        <v>155</v>
      </c>
      <c r="AH662" s="210"/>
      <c r="AI662" s="211"/>
      <c r="AJ662" s="212"/>
      <c r="AK662" s="212"/>
      <c r="AL662" s="212"/>
      <c r="AM662" s="214">
        <f>SUM(AM663:AM678)</f>
        <v>2565596.5960624446</v>
      </c>
      <c r="AN662" s="212"/>
      <c r="AO662" s="212"/>
      <c r="AP662" s="211"/>
      <c r="AQ662" s="212">
        <f>SUM(AQ663:AQ678)</f>
        <v>19044.142683488841</v>
      </c>
      <c r="AR662" s="212"/>
      <c r="AS662" s="214">
        <f>SUM(AS663:AS678)</f>
        <v>6078319.8868177589</v>
      </c>
      <c r="AT662" s="211"/>
      <c r="AU662" s="212">
        <f t="shared" ref="AU662:BA662" si="458">SUM(AU663:AU678)</f>
        <v>106.39891742661803</v>
      </c>
      <c r="AV662" s="212">
        <f t="shared" si="458"/>
        <v>181</v>
      </c>
      <c r="AW662" s="212">
        <f t="shared" si="458"/>
        <v>26.599729356654507</v>
      </c>
      <c r="AX662" s="212">
        <f t="shared" si="458"/>
        <v>4779.3429273446764</v>
      </c>
      <c r="AY662" s="212">
        <f t="shared" si="458"/>
        <v>28.868764595887974</v>
      </c>
      <c r="AZ662" s="212">
        <f t="shared" si="458"/>
        <v>1.5098454958190355E-3</v>
      </c>
      <c r="BA662" s="212">
        <f t="shared" si="458"/>
        <v>11154.517738450249</v>
      </c>
      <c r="BB662" s="211"/>
      <c r="BC662" s="212">
        <f>SUM(BC663:BC678)</f>
        <v>825.5</v>
      </c>
      <c r="BD662" s="212">
        <f>SUM(BD663:BD678)</f>
        <v>4460344.9123302978</v>
      </c>
      <c r="BE662" s="187"/>
    </row>
    <row r="663" spans="2:57" x14ac:dyDescent="0.3">
      <c r="B663" s="216" t="s">
        <v>752</v>
      </c>
      <c r="C663" s="218" t="s">
        <v>156</v>
      </c>
      <c r="D663" s="218" t="s">
        <v>157</v>
      </c>
      <c r="E663" s="218"/>
      <c r="F663" s="217"/>
      <c r="G663" s="218"/>
      <c r="H663" s="219"/>
      <c r="I663" s="218"/>
      <c r="J663" s="219"/>
      <c r="K663" s="219"/>
      <c r="L663" s="219">
        <v>0</v>
      </c>
      <c r="M663" s="219">
        <v>0</v>
      </c>
      <c r="N663" s="219">
        <v>0</v>
      </c>
      <c r="O663" s="221"/>
      <c r="P663" s="219"/>
      <c r="Q663" s="219"/>
      <c r="R663" s="219"/>
      <c r="S663" s="219"/>
      <c r="T663" s="219"/>
      <c r="U663" s="219"/>
      <c r="V663" s="219"/>
      <c r="W663" s="221"/>
      <c r="X663" s="219"/>
      <c r="Y663" s="219"/>
      <c r="Z663" s="217"/>
      <c r="AA663" s="219"/>
      <c r="AB663" s="219"/>
      <c r="AC663" s="219"/>
      <c r="AD663" s="219"/>
      <c r="AE663" s="219"/>
      <c r="AF663" s="219"/>
      <c r="AG663" s="219" t="s">
        <v>155</v>
      </c>
      <c r="AH663" s="217"/>
      <c r="AI663" s="218"/>
      <c r="AJ663" s="219"/>
      <c r="AK663" s="219"/>
      <c r="AL663" s="219"/>
      <c r="AM663" s="221"/>
      <c r="AN663" s="219"/>
      <c r="AO663" s="219"/>
      <c r="AP663" s="218"/>
      <c r="AQ663" s="219"/>
      <c r="AR663" s="219"/>
      <c r="AS663" s="221"/>
      <c r="AT663" s="218"/>
      <c r="AU663" s="219"/>
      <c r="AV663" s="219"/>
      <c r="AW663" s="219"/>
      <c r="AX663" s="219"/>
      <c r="AY663" s="219"/>
      <c r="AZ663" s="219"/>
      <c r="BA663" s="219"/>
      <c r="BB663" s="218"/>
      <c r="BC663" s="219"/>
      <c r="BD663" s="219"/>
      <c r="BE663" s="187"/>
    </row>
    <row r="664" spans="2:57" x14ac:dyDescent="0.3">
      <c r="B664" s="223" t="s">
        <v>752</v>
      </c>
      <c r="C664" s="223" t="s">
        <v>754</v>
      </c>
      <c r="D664" s="223" t="s">
        <v>92</v>
      </c>
      <c r="E664" s="223">
        <v>2009</v>
      </c>
      <c r="F664" s="224"/>
      <c r="G664" s="225"/>
      <c r="H664" s="226">
        <f ca="1">IF(AND(E664&gt;=2018,SUMIF('DADOS BASE'!$C$101:$D$104,D664,'DADOS BASE'!$H$101:$H$104)&gt;J664),
SUMIF('DADOS BASE'!$C$101:$D$104,D664,'DADOS BASE'!$H$101:$H$104),
J664)</f>
        <v>5045460.9886035938</v>
      </c>
      <c r="I664" s="225"/>
      <c r="J664" s="226">
        <f t="shared" ref="J664:J678" si="459">N664+Q664+T664</f>
        <v>5045460.9886035938</v>
      </c>
      <c r="K664" s="226"/>
      <c r="L664" s="227">
        <v>5123.6679868357996</v>
      </c>
      <c r="M664" s="226">
        <f t="shared" ref="M664:M678" si="460">L664/$L$11</f>
        <v>3.997248313110764E-3</v>
      </c>
      <c r="N664" s="226">
        <f>L664*'DADOS BASE'!$I$29</f>
        <v>5045460.9886035938</v>
      </c>
      <c r="O664" s="228"/>
      <c r="P664" s="227">
        <v>0</v>
      </c>
      <c r="Q664" s="226">
        <f>P664*'DADOS BASE'!$I$33</f>
        <v>0</v>
      </c>
      <c r="R664" s="226"/>
      <c r="S664" s="227">
        <v>0</v>
      </c>
      <c r="T664" s="226">
        <f>S664*'DADOS BASE'!$I$37</f>
        <v>0</v>
      </c>
      <c r="U664" s="226"/>
      <c r="V664" s="226">
        <f t="shared" ref="V664:V678" si="461">T664+Q664</f>
        <v>0</v>
      </c>
      <c r="W664" s="228"/>
      <c r="X664" s="226"/>
      <c r="Y664" s="226"/>
      <c r="Z664" s="224"/>
      <c r="AA664" s="226"/>
      <c r="AB664" s="226"/>
      <c r="AC664" s="226"/>
      <c r="AD664" s="226"/>
      <c r="AE664" s="227">
        <v>2151</v>
      </c>
      <c r="AF664" s="227">
        <v>1884.7406929169999</v>
      </c>
      <c r="AG664" s="226" t="s">
        <v>155</v>
      </c>
      <c r="AH664" s="229">
        <v>0.70299999999999996</v>
      </c>
      <c r="AI664" s="225">
        <f t="shared" ref="AI664:AI678" si="462">AF664*AH664</f>
        <v>1324.972707120651</v>
      </c>
      <c r="AJ664" s="226">
        <f t="shared" ref="AJ664:AJ678" si="463">(AH664-$AI$12)*$AJ$12</f>
        <v>-2.6067734638090465E-2</v>
      </c>
      <c r="AK664" s="226"/>
      <c r="AL664" s="226">
        <f t="shared" ref="AL664:AL678" si="464">$AL$11-(AJ664*$AL$11)</f>
        <v>184.36013031434496</v>
      </c>
      <c r="AM664" s="228">
        <f t="shared" ref="AM664:AM678" si="465">AF664*AL664</f>
        <v>347471.03975492693</v>
      </c>
      <c r="AN664" s="226"/>
      <c r="AO664" s="227">
        <v>1.3976088289393001</v>
      </c>
      <c r="AP664" s="225"/>
      <c r="AQ664" s="226">
        <f t="shared" ref="AQ664:AQ678" si="466">AF664*AO664</f>
        <v>2634.1302326819732</v>
      </c>
      <c r="AR664" s="226">
        <f t="shared" ref="AR664:AR678" si="467">AQ664/$AQ$11</f>
        <v>2.8026872815799827E-3</v>
      </c>
      <c r="AS664" s="228">
        <f>AR664*'DADOS BASE'!W$38</f>
        <v>840735.46622081555</v>
      </c>
      <c r="AT664" s="225"/>
      <c r="AU664" s="227">
        <v>0</v>
      </c>
      <c r="AV664" s="227">
        <v>0</v>
      </c>
      <c r="AW664" s="226">
        <f t="shared" ref="AW664:AW678" si="468">AU664/4</f>
        <v>0</v>
      </c>
      <c r="AX664" s="226">
        <f>IF($AW$11&gt;0,(AW664/$AW$11)*'DADOS BASE'!W$40,0)</f>
        <v>0</v>
      </c>
      <c r="AY664" s="226">
        <f t="shared" ref="AY664:AY678" si="469">AO664*AW664</f>
        <v>0</v>
      </c>
      <c r="AZ664" s="226">
        <f t="shared" ref="AZ664:AZ678" si="470">IF($AY$11&gt;0,AY664/$AY$11,0)</f>
        <v>0</v>
      </c>
      <c r="BA664" s="226">
        <f>AZ664*'DADOS BASE'!W$41</f>
        <v>0</v>
      </c>
      <c r="BB664" s="225"/>
      <c r="BC664" s="227">
        <v>0</v>
      </c>
      <c r="BD664" s="226">
        <f>IF($BC$11&gt;0,(BC664/$BC$11)*'DADOS BASE'!W$39,0)</f>
        <v>0</v>
      </c>
      <c r="BE664" s="187"/>
    </row>
    <row r="665" spans="2:57" x14ac:dyDescent="0.3">
      <c r="B665" s="184" t="s">
        <v>752</v>
      </c>
      <c r="C665" s="184" t="s">
        <v>755</v>
      </c>
      <c r="D665" s="184" t="s">
        <v>96</v>
      </c>
      <c r="E665" s="184">
        <v>2015</v>
      </c>
      <c r="F665" s="185"/>
      <c r="H665" s="186">
        <f ca="1">IF(AND(E665&gt;=2018,SUMIF('DADOS BASE'!$C$101:$D$104,D665,'DADOS BASE'!$H$101:$H$104)&gt;J665),
SUMIF('DADOS BASE'!$C$101:$D$104,D665,'DADOS BASE'!$H$101:$H$104),
J665)</f>
        <v>525867.6709803415</v>
      </c>
      <c r="J665" s="186">
        <f t="shared" si="459"/>
        <v>525867.6709803415</v>
      </c>
      <c r="K665" s="186"/>
      <c r="L665" s="188">
        <v>534.01886511455996</v>
      </c>
      <c r="M665" s="186">
        <f t="shared" si="460"/>
        <v>4.166167701016003E-4</v>
      </c>
      <c r="N665" s="186">
        <f>L665*'DADOS BASE'!$I$29</f>
        <v>525867.6709803415</v>
      </c>
      <c r="O665" s="187"/>
      <c r="P665" s="188">
        <v>0</v>
      </c>
      <c r="Q665" s="186">
        <f>P665*'DADOS BASE'!$I$33</f>
        <v>0</v>
      </c>
      <c r="R665" s="186"/>
      <c r="S665" s="188">
        <v>0</v>
      </c>
      <c r="T665" s="186">
        <f>S665*'DADOS BASE'!$I$37</f>
        <v>0</v>
      </c>
      <c r="U665" s="186"/>
      <c r="V665" s="186">
        <f t="shared" si="461"/>
        <v>0</v>
      </c>
      <c r="W665" s="187"/>
      <c r="X665" s="186"/>
      <c r="Y665" s="186"/>
      <c r="Z665" s="185"/>
      <c r="AA665" s="186"/>
      <c r="AB665" s="186"/>
      <c r="AC665" s="186"/>
      <c r="AD665" s="186"/>
      <c r="AE665" s="188">
        <v>167</v>
      </c>
      <c r="AF665" s="188">
        <v>165.38319085645</v>
      </c>
      <c r="AG665" s="186" t="s">
        <v>155</v>
      </c>
      <c r="AH665" s="189">
        <v>0.69599999999999995</v>
      </c>
      <c r="AI665" s="183">
        <f t="shared" si="462"/>
        <v>115.10670083608919</v>
      </c>
      <c r="AJ665" s="186">
        <f t="shared" si="463"/>
        <v>-3.5509293079649076E-2</v>
      </c>
      <c r="AK665" s="186"/>
      <c r="AL665" s="186">
        <f t="shared" si="464"/>
        <v>186.05655530257462</v>
      </c>
      <c r="AM665" s="187">
        <f t="shared" si="465"/>
        <v>30770.626795699343</v>
      </c>
      <c r="AN665" s="186"/>
      <c r="AO665" s="188">
        <v>2.0634328358209002</v>
      </c>
      <c r="AQ665" s="186">
        <f t="shared" si="466"/>
        <v>341.25710650603378</v>
      </c>
      <c r="AR665" s="186">
        <f t="shared" si="467"/>
        <v>3.6309402636461064E-4</v>
      </c>
      <c r="AS665" s="187">
        <f>AR665*'DADOS BASE'!W$38</f>
        <v>108919.04621108988</v>
      </c>
      <c r="AU665" s="188">
        <v>0</v>
      </c>
      <c r="AV665" s="188">
        <v>0</v>
      </c>
      <c r="AW665" s="186">
        <f t="shared" si="468"/>
        <v>0</v>
      </c>
      <c r="AX665" s="186">
        <f>IF($AW$11&gt;0,(AW665/$AW$11)*'DADOS BASE'!W$40,0)</f>
        <v>0</v>
      </c>
      <c r="AY665" s="186">
        <f t="shared" si="469"/>
        <v>0</v>
      </c>
      <c r="AZ665" s="186">
        <f t="shared" si="470"/>
        <v>0</v>
      </c>
      <c r="BA665" s="186">
        <f>AZ665*'DADOS BASE'!W$41</f>
        <v>0</v>
      </c>
      <c r="BC665" s="188">
        <v>35.5</v>
      </c>
      <c r="BD665" s="186">
        <f>IF($BC$11&gt;0,(BC665/$BC$11)*'DADOS BASE'!W$39,0)</f>
        <v>191813.74244424657</v>
      </c>
      <c r="BE665" s="187"/>
    </row>
    <row r="666" spans="2:57" x14ac:dyDescent="0.3">
      <c r="B666" s="223" t="s">
        <v>752</v>
      </c>
      <c r="C666" s="223" t="s">
        <v>756</v>
      </c>
      <c r="D666" s="223" t="s">
        <v>98</v>
      </c>
      <c r="E666" s="223">
        <v>2014</v>
      </c>
      <c r="F666" s="224"/>
      <c r="G666" s="225"/>
      <c r="H666" s="226">
        <f ca="1">IF(AND(E666&gt;=2018,SUMIF('DADOS BASE'!$C$101:$D$104,D666,'DADOS BASE'!$H$101:$H$104)&gt;J666),
SUMIF('DADOS BASE'!$C$101:$D$104,D666,'DADOS BASE'!$H$101:$H$104),
J666)</f>
        <v>1256885.4435414148</v>
      </c>
      <c r="I666" s="225"/>
      <c r="J666" s="226">
        <f t="shared" si="459"/>
        <v>1256885.4435414148</v>
      </c>
      <c r="K666" s="226"/>
      <c r="L666" s="227">
        <v>1276.3677540543999</v>
      </c>
      <c r="M666" s="226">
        <f t="shared" si="460"/>
        <v>9.9576296998777985E-4</v>
      </c>
      <c r="N666" s="226">
        <f>L666*'DADOS BASE'!$I$29</f>
        <v>1256885.4435414148</v>
      </c>
      <c r="O666" s="228"/>
      <c r="P666" s="227">
        <v>0</v>
      </c>
      <c r="Q666" s="226">
        <f>P666*'DADOS BASE'!$I$33</f>
        <v>0</v>
      </c>
      <c r="R666" s="226"/>
      <c r="S666" s="227">
        <v>0</v>
      </c>
      <c r="T666" s="226">
        <f>S666*'DADOS BASE'!$I$37</f>
        <v>0</v>
      </c>
      <c r="U666" s="226"/>
      <c r="V666" s="226">
        <f t="shared" si="461"/>
        <v>0</v>
      </c>
      <c r="W666" s="228"/>
      <c r="X666" s="226"/>
      <c r="Y666" s="226"/>
      <c r="Z666" s="224"/>
      <c r="AA666" s="226"/>
      <c r="AB666" s="226"/>
      <c r="AC666" s="226"/>
      <c r="AD666" s="226"/>
      <c r="AE666" s="227">
        <v>876</v>
      </c>
      <c r="AF666" s="227">
        <v>736.35853676722002</v>
      </c>
      <c r="AG666" s="226" t="s">
        <v>155</v>
      </c>
      <c r="AH666" s="229">
        <v>0.72799999999999998</v>
      </c>
      <c r="AI666" s="225">
        <f t="shared" si="462"/>
        <v>536.06901476653616</v>
      </c>
      <c r="AJ666" s="226">
        <f t="shared" si="463"/>
        <v>7.6521169389045665E-3</v>
      </c>
      <c r="AK666" s="226"/>
      <c r="AL666" s="226">
        <f t="shared" si="464"/>
        <v>178.30146964209621</v>
      </c>
      <c r="AM666" s="228">
        <f t="shared" si="465"/>
        <v>131293.80928909886</v>
      </c>
      <c r="AN666" s="226"/>
      <c r="AO666" s="227">
        <v>1.6666666666667</v>
      </c>
      <c r="AP666" s="225"/>
      <c r="AQ666" s="226">
        <f t="shared" si="466"/>
        <v>1227.2642279453912</v>
      </c>
      <c r="AR666" s="226">
        <f t="shared" si="467"/>
        <v>1.3057964257517038E-3</v>
      </c>
      <c r="AS666" s="228">
        <f>AR666*'DADOS BASE'!W$38</f>
        <v>391705.97947515018</v>
      </c>
      <c r="AT666" s="225"/>
      <c r="AU666" s="227">
        <v>0</v>
      </c>
      <c r="AV666" s="227">
        <v>0</v>
      </c>
      <c r="AW666" s="226">
        <f t="shared" si="468"/>
        <v>0</v>
      </c>
      <c r="AX666" s="226">
        <f>IF($AW$11&gt;0,(AW666/$AW$11)*'DADOS BASE'!W$40,0)</f>
        <v>0</v>
      </c>
      <c r="AY666" s="226">
        <f t="shared" si="469"/>
        <v>0</v>
      </c>
      <c r="AZ666" s="226">
        <f t="shared" si="470"/>
        <v>0</v>
      </c>
      <c r="BA666" s="226">
        <f>AZ666*'DADOS BASE'!W$41</f>
        <v>0</v>
      </c>
      <c r="BB666" s="225"/>
      <c r="BC666" s="227">
        <v>0</v>
      </c>
      <c r="BD666" s="226">
        <f>IF($BC$11&gt;0,(BC666/$BC$11)*'DADOS BASE'!W$39,0)</f>
        <v>0</v>
      </c>
      <c r="BE666" s="187"/>
    </row>
    <row r="667" spans="2:57" x14ac:dyDescent="0.3">
      <c r="B667" s="184" t="s">
        <v>752</v>
      </c>
      <c r="C667" s="184" t="s">
        <v>757</v>
      </c>
      <c r="D667" s="184" t="s">
        <v>94</v>
      </c>
      <c r="E667" s="184">
        <v>2013</v>
      </c>
      <c r="F667" s="185"/>
      <c r="H667" s="186">
        <f ca="1">IF(AND(E667&gt;=2018,SUMIF('DADOS BASE'!$C$101:$D$104,D667,'DADOS BASE'!$H$101:$H$104)&gt;J667),
SUMIF('DADOS BASE'!$C$101:$D$104,D667,'DADOS BASE'!$H$101:$H$104),
J667)</f>
        <v>2059397.9444084449</v>
      </c>
      <c r="J667" s="186">
        <f t="shared" si="459"/>
        <v>2059397.9444084449</v>
      </c>
      <c r="K667" s="186"/>
      <c r="L667" s="188">
        <v>2058.9335597373001</v>
      </c>
      <c r="M667" s="186">
        <f t="shared" si="460"/>
        <v>1.6062845445123524E-3</v>
      </c>
      <c r="N667" s="186">
        <f>L667*'DADOS BASE'!$I$29</f>
        <v>2027506.2670867383</v>
      </c>
      <c r="O667" s="187"/>
      <c r="P667" s="188">
        <v>0</v>
      </c>
      <c r="Q667" s="186">
        <f>P667*'DADOS BASE'!$I$33</f>
        <v>0</v>
      </c>
      <c r="R667" s="186"/>
      <c r="S667" s="188">
        <v>40.482516490765001</v>
      </c>
      <c r="T667" s="186">
        <f>S667*'DADOS BASE'!$I$37</f>
        <v>31891.677321706564</v>
      </c>
      <c r="U667" s="186"/>
      <c r="V667" s="186">
        <f t="shared" si="461"/>
        <v>31891.677321706564</v>
      </c>
      <c r="W667" s="187"/>
      <c r="X667" s="186"/>
      <c r="Y667" s="186"/>
      <c r="Z667" s="185"/>
      <c r="AA667" s="186"/>
      <c r="AB667" s="186"/>
      <c r="AC667" s="186"/>
      <c r="AD667" s="186"/>
      <c r="AE667" s="188">
        <v>1121</v>
      </c>
      <c r="AF667" s="188">
        <v>975.92884758907996</v>
      </c>
      <c r="AG667" s="186" t="s">
        <v>155</v>
      </c>
      <c r="AH667" s="189">
        <v>0.80600000000000005</v>
      </c>
      <c r="AI667" s="183">
        <f t="shared" si="462"/>
        <v>786.5986511567985</v>
      </c>
      <c r="AJ667" s="186">
        <f t="shared" si="463"/>
        <v>0.11285805385912907</v>
      </c>
      <c r="AK667" s="186"/>
      <c r="AL667" s="186">
        <f t="shared" si="464"/>
        <v>159.39844834468008</v>
      </c>
      <c r="AM667" s="187">
        <f t="shared" si="465"/>
        <v>155561.54400051112</v>
      </c>
      <c r="AN667" s="186"/>
      <c r="AO667" s="188">
        <v>1.2497579864471999</v>
      </c>
      <c r="AQ667" s="186">
        <f t="shared" si="466"/>
        <v>1219.674871478665</v>
      </c>
      <c r="AR667" s="186">
        <f t="shared" si="467"/>
        <v>1.2977214290864807E-3</v>
      </c>
      <c r="AS667" s="187">
        <f>AR667*'DADOS BASE'!W$38</f>
        <v>389283.68422634143</v>
      </c>
      <c r="AU667" s="188">
        <v>20.241258245383001</v>
      </c>
      <c r="AV667" s="188">
        <v>37</v>
      </c>
      <c r="AW667" s="186">
        <f t="shared" si="468"/>
        <v>5.0603145613457503</v>
      </c>
      <c r="AX667" s="186">
        <f>IF($AW$11&gt;0,(AW667/$AW$11)*'DADOS BASE'!W$40,0)</f>
        <v>909.21897304405047</v>
      </c>
      <c r="AY667" s="186">
        <f t="shared" si="469"/>
        <v>6.3241685369769103</v>
      </c>
      <c r="AZ667" s="186">
        <f t="shared" si="470"/>
        <v>3.3075600961861475E-4</v>
      </c>
      <c r="BA667" s="186">
        <f>AZ667*'DADOS BASE'!W$41</f>
        <v>2443.5770326211314</v>
      </c>
      <c r="BC667" s="188">
        <v>0</v>
      </c>
      <c r="BD667" s="186">
        <f>IF($BC$11&gt;0,(BC667/$BC$11)*'DADOS BASE'!W$39,0)</f>
        <v>0</v>
      </c>
      <c r="BE667" s="187"/>
    </row>
    <row r="668" spans="2:57" x14ac:dyDescent="0.3">
      <c r="B668" s="223" t="s">
        <v>752</v>
      </c>
      <c r="C668" s="223" t="s">
        <v>758</v>
      </c>
      <c r="D668" s="223" t="s">
        <v>94</v>
      </c>
      <c r="E668" s="223">
        <v>2013</v>
      </c>
      <c r="F668" s="224"/>
      <c r="G668" s="225"/>
      <c r="H668" s="226">
        <f ca="1">IF(AND(E668&gt;=2018,SUMIF('DADOS BASE'!$C$101:$D$104,D668,'DADOS BASE'!$H$101:$H$104)&gt;J668),
SUMIF('DADOS BASE'!$C$101:$D$104,D668,'DADOS BASE'!$H$101:$H$104),
J668)</f>
        <v>1754169.1201698591</v>
      </c>
      <c r="I668" s="225"/>
      <c r="J668" s="226">
        <f t="shared" si="459"/>
        <v>1754169.1201698591</v>
      </c>
      <c r="K668" s="226"/>
      <c r="L668" s="227">
        <v>1781.3595595746999</v>
      </c>
      <c r="M668" s="226">
        <f t="shared" si="460"/>
        <v>1.3897341734180361E-3</v>
      </c>
      <c r="N668" s="226">
        <f>L668*'DADOS BASE'!$I$29</f>
        <v>1754169.1201698591</v>
      </c>
      <c r="O668" s="228"/>
      <c r="P668" s="227">
        <v>0</v>
      </c>
      <c r="Q668" s="226">
        <f>P668*'DADOS BASE'!$I$33</f>
        <v>0</v>
      </c>
      <c r="R668" s="226"/>
      <c r="S668" s="227">
        <v>0</v>
      </c>
      <c r="T668" s="226">
        <f>S668*'DADOS BASE'!$I$37</f>
        <v>0</v>
      </c>
      <c r="U668" s="226"/>
      <c r="V668" s="226">
        <f t="shared" si="461"/>
        <v>0</v>
      </c>
      <c r="W668" s="228"/>
      <c r="X668" s="226"/>
      <c r="Y668" s="226"/>
      <c r="Z668" s="224"/>
      <c r="AA668" s="226"/>
      <c r="AB668" s="226"/>
      <c r="AC668" s="226"/>
      <c r="AD668" s="226"/>
      <c r="AE668" s="227">
        <v>986</v>
      </c>
      <c r="AF668" s="227">
        <v>883.62817755312994</v>
      </c>
      <c r="AG668" s="226" t="s">
        <v>155</v>
      </c>
      <c r="AH668" s="229">
        <v>0.79500000000000004</v>
      </c>
      <c r="AI668" s="225">
        <f t="shared" si="462"/>
        <v>702.48440115473829</v>
      </c>
      <c r="AJ668" s="226">
        <f t="shared" si="463"/>
        <v>9.8021319165251253E-2</v>
      </c>
      <c r="AK668" s="226"/>
      <c r="AL668" s="226">
        <f t="shared" si="464"/>
        <v>162.06425904046952</v>
      </c>
      <c r="AM668" s="228">
        <f t="shared" si="465"/>
        <v>143204.54586242844</v>
      </c>
      <c r="AN668" s="226"/>
      <c r="AO668" s="227">
        <v>1.255980861244</v>
      </c>
      <c r="AP668" s="225"/>
      <c r="AQ668" s="226">
        <f t="shared" si="466"/>
        <v>1109.8200794626464</v>
      </c>
      <c r="AR668" s="226">
        <f t="shared" si="467"/>
        <v>1.180837068327131E-3</v>
      </c>
      <c r="AS668" s="228">
        <f>AR668*'DADOS BASE'!W$38</f>
        <v>354221.32526007964</v>
      </c>
      <c r="AT668" s="225"/>
      <c r="AU668" s="227">
        <v>0</v>
      </c>
      <c r="AV668" s="227">
        <v>0</v>
      </c>
      <c r="AW668" s="226">
        <f t="shared" si="468"/>
        <v>0</v>
      </c>
      <c r="AX668" s="226">
        <f>IF($AW$11&gt;0,(AW668/$AW$11)*'DADOS BASE'!W$40,0)</f>
        <v>0</v>
      </c>
      <c r="AY668" s="226">
        <f t="shared" si="469"/>
        <v>0</v>
      </c>
      <c r="AZ668" s="226">
        <f t="shared" si="470"/>
        <v>0</v>
      </c>
      <c r="BA668" s="226">
        <f>AZ668*'DADOS BASE'!W$41</f>
        <v>0</v>
      </c>
      <c r="BB668" s="225"/>
      <c r="BC668" s="227">
        <v>0</v>
      </c>
      <c r="BD668" s="226">
        <f>IF($BC$11&gt;0,(BC668/$BC$11)*'DADOS BASE'!W$39,0)</f>
        <v>0</v>
      </c>
      <c r="BE668" s="187"/>
    </row>
    <row r="669" spans="2:57" x14ac:dyDescent="0.3">
      <c r="B669" s="184" t="s">
        <v>752</v>
      </c>
      <c r="C669" s="184" t="s">
        <v>759</v>
      </c>
      <c r="D669" s="184" t="s">
        <v>92</v>
      </c>
      <c r="E669" s="184">
        <v>2009</v>
      </c>
      <c r="F669" s="185"/>
      <c r="H669" s="186">
        <f ca="1">IF(AND(E669&gt;=2018,SUMIF('DADOS BASE'!$C$101:$D$104,D669,'DADOS BASE'!$H$101:$H$104)&gt;J669),
SUMIF('DADOS BASE'!$C$101:$D$104,D669,'DADOS BASE'!$H$101:$H$104),
J669)</f>
        <v>4200848.9014239237</v>
      </c>
      <c r="J669" s="186">
        <f t="shared" si="459"/>
        <v>4200848.9014239237</v>
      </c>
      <c r="K669" s="186"/>
      <c r="L669" s="188">
        <v>4262.6217107347002</v>
      </c>
      <c r="M669" s="186">
        <f t="shared" si="460"/>
        <v>3.3254999126487404E-3</v>
      </c>
      <c r="N669" s="186">
        <f>L669*'DADOS BASE'!$I$29</f>
        <v>4197557.6102792248</v>
      </c>
      <c r="O669" s="187"/>
      <c r="P669" s="188">
        <v>0</v>
      </c>
      <c r="Q669" s="186">
        <f>P669*'DADOS BASE'!$I$33</f>
        <v>0</v>
      </c>
      <c r="R669" s="186"/>
      <c r="S669" s="188">
        <v>4.1778846153845999</v>
      </c>
      <c r="T669" s="186">
        <f>S669*'DADOS BASE'!$I$37</f>
        <v>3291.2911446985481</v>
      </c>
      <c r="U669" s="186"/>
      <c r="V669" s="186">
        <f t="shared" si="461"/>
        <v>3291.2911446985481</v>
      </c>
      <c r="W669" s="187"/>
      <c r="X669" s="186"/>
      <c r="Y669" s="186"/>
      <c r="Z669" s="185"/>
      <c r="AA669" s="186"/>
      <c r="AB669" s="186"/>
      <c r="AC669" s="186"/>
      <c r="AD669" s="186"/>
      <c r="AE669" s="188">
        <v>2303</v>
      </c>
      <c r="AF669" s="188">
        <v>1785.0908354704</v>
      </c>
      <c r="AG669" s="186" t="s">
        <v>155</v>
      </c>
      <c r="AH669" s="189">
        <v>0.72599999999999998</v>
      </c>
      <c r="AI669" s="183">
        <f t="shared" si="462"/>
        <v>1295.9759465515103</v>
      </c>
      <c r="AJ669" s="186">
        <f t="shared" si="463"/>
        <v>4.9545288127449639E-3</v>
      </c>
      <c r="AK669" s="186"/>
      <c r="AL669" s="186">
        <f t="shared" si="464"/>
        <v>178.78616249587608</v>
      </c>
      <c r="AM669" s="187">
        <f t="shared" si="465"/>
        <v>319149.54018031014</v>
      </c>
      <c r="AN669" s="186"/>
      <c r="AO669" s="188">
        <v>1.0434782608696</v>
      </c>
      <c r="AQ669" s="186">
        <f t="shared" si="466"/>
        <v>1862.7034804909142</v>
      </c>
      <c r="AR669" s="186">
        <f t="shared" si="467"/>
        <v>1.9818972081768549E-3</v>
      </c>
      <c r="AS669" s="187">
        <f>AR669*'DADOS BASE'!W$38</f>
        <v>594519.15462326247</v>
      </c>
      <c r="AU669" s="188">
        <v>4.1778846153845999</v>
      </c>
      <c r="AV669" s="188">
        <v>27.5</v>
      </c>
      <c r="AW669" s="186">
        <f t="shared" si="468"/>
        <v>1.04447115384615</v>
      </c>
      <c r="AX669" s="186">
        <f>IF($AW$11&gt;0,(AW669/$AW$11)*'DADOS BASE'!W$40,0)</f>
        <v>187.66678995180453</v>
      </c>
      <c r="AY669" s="186">
        <f t="shared" si="469"/>
        <v>1.089882943143845</v>
      </c>
      <c r="AZ669" s="186">
        <f t="shared" si="470"/>
        <v>5.7001221760286863E-5</v>
      </c>
      <c r="BA669" s="186">
        <f>AZ669*'DADOS BASE'!W$41</f>
        <v>421.11669107808058</v>
      </c>
      <c r="BC669" s="188">
        <v>0</v>
      </c>
      <c r="BD669" s="186">
        <f>IF($BC$11&gt;0,(BC669/$BC$11)*'DADOS BASE'!W$39,0)</f>
        <v>0</v>
      </c>
      <c r="BE669" s="187"/>
    </row>
    <row r="670" spans="2:57" x14ac:dyDescent="0.3">
      <c r="B670" s="223" t="s">
        <v>752</v>
      </c>
      <c r="C670" s="223" t="s">
        <v>760</v>
      </c>
      <c r="D670" s="223" t="s">
        <v>92</v>
      </c>
      <c r="E670" s="223">
        <v>2009</v>
      </c>
      <c r="F670" s="224"/>
      <c r="G670" s="225"/>
      <c r="H670" s="226">
        <f ca="1">IF(AND(E670&gt;=2018,SUMIF('DADOS BASE'!$C$101:$D$104,D670,'DADOS BASE'!$H$101:$H$104)&gt;J670),
SUMIF('DADOS BASE'!$C$101:$D$104,D670,'DADOS BASE'!$H$101:$H$104),
J670)</f>
        <v>4786964.3381013973</v>
      </c>
      <c r="I670" s="225"/>
      <c r="J670" s="226">
        <f t="shared" si="459"/>
        <v>4786964.3381013973</v>
      </c>
      <c r="K670" s="226"/>
      <c r="L670" s="227">
        <v>4852.8673122235996</v>
      </c>
      <c r="M670" s="226">
        <f t="shared" si="460"/>
        <v>3.7859821767092599E-3</v>
      </c>
      <c r="N670" s="226">
        <f>L670*'DADOS BASE'!$I$29</f>
        <v>4778793.7800815254</v>
      </c>
      <c r="O670" s="228"/>
      <c r="P670" s="227">
        <v>0</v>
      </c>
      <c r="Q670" s="226">
        <f>P670*'DADOS BASE'!$I$33</f>
        <v>0</v>
      </c>
      <c r="R670" s="226"/>
      <c r="S670" s="227">
        <v>10.371506849315001</v>
      </c>
      <c r="T670" s="226">
        <f>S670*'DADOS BASE'!$I$37</f>
        <v>8170.5580198720745</v>
      </c>
      <c r="U670" s="226"/>
      <c r="V670" s="226">
        <f t="shared" si="461"/>
        <v>8170.5580198720745</v>
      </c>
      <c r="W670" s="228"/>
      <c r="X670" s="226"/>
      <c r="Y670" s="226"/>
      <c r="Z670" s="224"/>
      <c r="AA670" s="226"/>
      <c r="AB670" s="226"/>
      <c r="AC670" s="226"/>
      <c r="AD670" s="226"/>
      <c r="AE670" s="227">
        <v>1711</v>
      </c>
      <c r="AF670" s="227">
        <v>1522.1259645308</v>
      </c>
      <c r="AG670" s="226" t="s">
        <v>155</v>
      </c>
      <c r="AH670" s="229">
        <v>0.8</v>
      </c>
      <c r="AI670" s="225">
        <f t="shared" si="462"/>
        <v>1217.7007716246401</v>
      </c>
      <c r="AJ670" s="226">
        <f t="shared" si="463"/>
        <v>0.10476528948065027</v>
      </c>
      <c r="AK670" s="226"/>
      <c r="AL670" s="226">
        <f t="shared" si="464"/>
        <v>160.85252690601976</v>
      </c>
      <c r="AM670" s="228">
        <f t="shared" si="465"/>
        <v>244837.80766404179</v>
      </c>
      <c r="AN670" s="226"/>
      <c r="AO670" s="227">
        <v>1.3836239575436</v>
      </c>
      <c r="AP670" s="225"/>
      <c r="AQ670" s="226">
        <f t="shared" si="466"/>
        <v>2106.0499509239748</v>
      </c>
      <c r="AR670" s="226">
        <f t="shared" si="467"/>
        <v>2.2408153319803644E-3</v>
      </c>
      <c r="AS670" s="228">
        <f>AR670*'DADOS BASE'!W$38</f>
        <v>672188.05866390397</v>
      </c>
      <c r="AT670" s="225"/>
      <c r="AU670" s="227">
        <v>10.371506849315001</v>
      </c>
      <c r="AV670" s="227">
        <v>14</v>
      </c>
      <c r="AW670" s="226">
        <f t="shared" si="468"/>
        <v>2.5928767123287502</v>
      </c>
      <c r="AX670" s="226">
        <f>IF($AW$11&gt;0,(AW670/$AW$11)*'DADOS BASE'!W$40,0)</f>
        <v>465.87868659817536</v>
      </c>
      <c r="AY670" s="226">
        <f t="shared" si="469"/>
        <v>3.5875663381349439</v>
      </c>
      <c r="AZ670" s="226">
        <f t="shared" si="470"/>
        <v>1.8763085128196234E-4</v>
      </c>
      <c r="BA670" s="226">
        <f>AZ670*'DADOS BASE'!W$41</f>
        <v>1386.1892920174798</v>
      </c>
      <c r="BB670" s="225"/>
      <c r="BC670" s="227">
        <v>221</v>
      </c>
      <c r="BD670" s="226">
        <f>IF($BC$11&gt;0,(BC670/$BC$11)*'DADOS BASE'!W$39,0)</f>
        <v>1194108.0867655915</v>
      </c>
      <c r="BE670" s="187"/>
    </row>
    <row r="671" spans="2:57" x14ac:dyDescent="0.3">
      <c r="B671" s="184" t="s">
        <v>752</v>
      </c>
      <c r="C671" s="184" t="s">
        <v>761</v>
      </c>
      <c r="D671" s="184" t="s">
        <v>94</v>
      </c>
      <c r="E671" s="184">
        <v>2013</v>
      </c>
      <c r="F671" s="185"/>
      <c r="H671" s="186">
        <f ca="1">IF(AND(E671&gt;=2018,SUMIF('DADOS BASE'!$C$101:$D$104,D671,'DADOS BASE'!$H$101:$H$104)&gt;J671),
SUMIF('DADOS BASE'!$C$101:$D$104,D671,'DADOS BASE'!$H$101:$H$104),
J671)</f>
        <v>776195.01947990723</v>
      </c>
      <c r="J671" s="186">
        <f t="shared" si="459"/>
        <v>776195.01947990723</v>
      </c>
      <c r="K671" s="186"/>
      <c r="L671" s="188">
        <v>788.22640425395002</v>
      </c>
      <c r="M671" s="186">
        <f t="shared" si="460"/>
        <v>6.1493771119608615E-4</v>
      </c>
      <c r="N671" s="186">
        <f>L671*'DADOS BASE'!$I$29</f>
        <v>776195.01947990723</v>
      </c>
      <c r="O671" s="187"/>
      <c r="P671" s="188">
        <v>0</v>
      </c>
      <c r="Q671" s="186">
        <f>P671*'DADOS BASE'!$I$33</f>
        <v>0</v>
      </c>
      <c r="R671" s="186"/>
      <c r="S671" s="188">
        <v>0</v>
      </c>
      <c r="T671" s="186">
        <f>S671*'DADOS BASE'!$I$37</f>
        <v>0</v>
      </c>
      <c r="U671" s="186"/>
      <c r="V671" s="186">
        <f t="shared" si="461"/>
        <v>0</v>
      </c>
      <c r="W671" s="187"/>
      <c r="X671" s="186"/>
      <c r="Y671" s="186"/>
      <c r="Z671" s="185"/>
      <c r="AA671" s="186"/>
      <c r="AB671" s="186"/>
      <c r="AC671" s="186"/>
      <c r="AD671" s="186"/>
      <c r="AE671" s="188">
        <v>565</v>
      </c>
      <c r="AF671" s="188">
        <v>473.54151527982998</v>
      </c>
      <c r="AG671" s="186" t="s">
        <v>155</v>
      </c>
      <c r="AH671" s="189">
        <v>0.73099999999999998</v>
      </c>
      <c r="AI671" s="183">
        <f t="shared" si="462"/>
        <v>346.15884766955571</v>
      </c>
      <c r="AJ671" s="186">
        <f t="shared" si="463"/>
        <v>1.169849912814397E-2</v>
      </c>
      <c r="AK671" s="186"/>
      <c r="AL671" s="186">
        <f t="shared" si="464"/>
        <v>177.57443036142635</v>
      </c>
      <c r="AM671" s="187">
        <f t="shared" si="465"/>
        <v>84088.864828302481</v>
      </c>
      <c r="AN671" s="186"/>
      <c r="AO671" s="188">
        <v>1.3903966597077</v>
      </c>
      <c r="AQ671" s="186">
        <f t="shared" si="466"/>
        <v>658.41054107799835</v>
      </c>
      <c r="AR671" s="186">
        <f t="shared" si="467"/>
        <v>7.0054199547251155E-4</v>
      </c>
      <c r="AS671" s="187">
        <f>AR671*'DADOS BASE'!W$38</f>
        <v>210144.92235424035</v>
      </c>
      <c r="AU671" s="188">
        <v>0</v>
      </c>
      <c r="AV671" s="188">
        <v>0</v>
      </c>
      <c r="AW671" s="186">
        <f t="shared" si="468"/>
        <v>0</v>
      </c>
      <c r="AX671" s="186">
        <f>IF($AW$11&gt;0,(AW671/$AW$11)*'DADOS BASE'!W$40,0)</f>
        <v>0</v>
      </c>
      <c r="AY671" s="186">
        <f t="shared" si="469"/>
        <v>0</v>
      </c>
      <c r="AZ671" s="186">
        <f t="shared" si="470"/>
        <v>0</v>
      </c>
      <c r="BA671" s="186">
        <f>AZ671*'DADOS BASE'!W$41</f>
        <v>0</v>
      </c>
      <c r="BC671" s="188">
        <v>0</v>
      </c>
      <c r="BD671" s="186">
        <f>IF($BC$11&gt;0,(BC671/$BC$11)*'DADOS BASE'!W$39,0)</f>
        <v>0</v>
      </c>
      <c r="BE671" s="187"/>
    </row>
    <row r="672" spans="2:57" x14ac:dyDescent="0.3">
      <c r="B672" s="223" t="s">
        <v>752</v>
      </c>
      <c r="C672" s="223" t="s">
        <v>762</v>
      </c>
      <c r="D672" s="223" t="s">
        <v>94</v>
      </c>
      <c r="E672" s="223">
        <v>2013</v>
      </c>
      <c r="F672" s="224"/>
      <c r="G672" s="225"/>
      <c r="H672" s="226">
        <f ca="1">IF(AND(E672&gt;=2018,SUMIF('DADOS BASE'!$C$101:$D$104,D672,'DADOS BASE'!$H$101:$H$104)&gt;J672),
SUMIF('DADOS BASE'!$C$101:$D$104,D672,'DADOS BASE'!$H$101:$H$104),
J672)</f>
        <v>887953.70075397589</v>
      </c>
      <c r="I672" s="225"/>
      <c r="J672" s="226">
        <f t="shared" si="459"/>
        <v>887953.70075397589</v>
      </c>
      <c r="K672" s="226"/>
      <c r="L672" s="227">
        <v>901.71739720549999</v>
      </c>
      <c r="M672" s="226">
        <f t="shared" si="460"/>
        <v>7.0347812429358042E-4</v>
      </c>
      <c r="N672" s="226">
        <f>L672*'DADOS BASE'!$I$29</f>
        <v>887953.70075397589</v>
      </c>
      <c r="O672" s="228"/>
      <c r="P672" s="227">
        <v>0</v>
      </c>
      <c r="Q672" s="226">
        <f>P672*'DADOS BASE'!$I$33</f>
        <v>0</v>
      </c>
      <c r="R672" s="226"/>
      <c r="S672" s="227">
        <v>0</v>
      </c>
      <c r="T672" s="226">
        <f>S672*'DADOS BASE'!$I$37</f>
        <v>0</v>
      </c>
      <c r="U672" s="226"/>
      <c r="V672" s="226">
        <f t="shared" si="461"/>
        <v>0</v>
      </c>
      <c r="W672" s="228"/>
      <c r="X672" s="226"/>
      <c r="Y672" s="226"/>
      <c r="Z672" s="224"/>
      <c r="AA672" s="226"/>
      <c r="AB672" s="226"/>
      <c r="AC672" s="226"/>
      <c r="AD672" s="226"/>
      <c r="AE672" s="227">
        <v>535</v>
      </c>
      <c r="AF672" s="227">
        <v>492.91836416684998</v>
      </c>
      <c r="AG672" s="226" t="s">
        <v>155</v>
      </c>
      <c r="AH672" s="229">
        <v>0.73699999999999999</v>
      </c>
      <c r="AI672" s="225">
        <f t="shared" si="462"/>
        <v>363.28083439096844</v>
      </c>
      <c r="AJ672" s="226">
        <f t="shared" si="463"/>
        <v>1.9791263506622778E-2</v>
      </c>
      <c r="AK672" s="226"/>
      <c r="AL672" s="226">
        <f t="shared" si="464"/>
        <v>176.12035180008664</v>
      </c>
      <c r="AM672" s="228">
        <f t="shared" si="465"/>
        <v>86812.955705788845</v>
      </c>
      <c r="AN672" s="226"/>
      <c r="AO672" s="227">
        <v>1.4962311557789001</v>
      </c>
      <c r="AP672" s="225"/>
      <c r="AQ672" s="226">
        <f t="shared" si="466"/>
        <v>737.51981372201067</v>
      </c>
      <c r="AR672" s="226">
        <f t="shared" si="467"/>
        <v>7.8471344210165979E-4</v>
      </c>
      <c r="AS672" s="228">
        <f>AR672*'DADOS BASE'!W$38</f>
        <v>235394.23250358528</v>
      </c>
      <c r="AT672" s="225"/>
      <c r="AU672" s="227">
        <v>0</v>
      </c>
      <c r="AV672" s="227">
        <v>0</v>
      </c>
      <c r="AW672" s="226">
        <f t="shared" si="468"/>
        <v>0</v>
      </c>
      <c r="AX672" s="226">
        <f>IF($AW$11&gt;0,(AW672/$AW$11)*'DADOS BASE'!W$40,0)</f>
        <v>0</v>
      </c>
      <c r="AY672" s="226">
        <f t="shared" si="469"/>
        <v>0</v>
      </c>
      <c r="AZ672" s="226">
        <f t="shared" si="470"/>
        <v>0</v>
      </c>
      <c r="BA672" s="226">
        <f>AZ672*'DADOS BASE'!W$41</f>
        <v>0</v>
      </c>
      <c r="BB672" s="225"/>
      <c r="BC672" s="227">
        <v>0</v>
      </c>
      <c r="BD672" s="226">
        <f>IF($BC$11&gt;0,(BC672/$BC$11)*'DADOS BASE'!W$39,0)</f>
        <v>0</v>
      </c>
      <c r="BE672" s="187"/>
    </row>
    <row r="673" spans="2:57" x14ac:dyDescent="0.3">
      <c r="B673" s="184" t="s">
        <v>752</v>
      </c>
      <c r="C673" s="184" t="s">
        <v>763</v>
      </c>
      <c r="D673" s="184" t="s">
        <v>94</v>
      </c>
      <c r="E673" s="184">
        <v>2013</v>
      </c>
      <c r="F673" s="185"/>
      <c r="H673" s="186">
        <f ca="1">IF(AND(E673&gt;=2018,SUMIF('DADOS BASE'!$C$101:$D$104,D673,'DADOS BASE'!$H$101:$H$104)&gt;J673),
SUMIF('DADOS BASE'!$C$101:$D$104,D673,'DADOS BASE'!$H$101:$H$104),
J673)</f>
        <v>1675609.7178499431</v>
      </c>
      <c r="J673" s="186">
        <f t="shared" si="459"/>
        <v>1675609.7178499431</v>
      </c>
      <c r="K673" s="186"/>
      <c r="L673" s="188">
        <v>1701.5824498832999</v>
      </c>
      <c r="M673" s="186">
        <f t="shared" si="460"/>
        <v>1.3274957696108184E-3</v>
      </c>
      <c r="N673" s="186">
        <f>L673*'DADOS BASE'!$I$29</f>
        <v>1675609.7178499431</v>
      </c>
      <c r="O673" s="187"/>
      <c r="P673" s="188">
        <v>0</v>
      </c>
      <c r="Q673" s="186">
        <f>P673*'DADOS BASE'!$I$33</f>
        <v>0</v>
      </c>
      <c r="R673" s="186"/>
      <c r="S673" s="188">
        <v>0</v>
      </c>
      <c r="T673" s="186">
        <f>S673*'DADOS BASE'!$I$37</f>
        <v>0</v>
      </c>
      <c r="U673" s="186"/>
      <c r="V673" s="186">
        <f t="shared" si="461"/>
        <v>0</v>
      </c>
      <c r="W673" s="187"/>
      <c r="X673" s="186"/>
      <c r="Y673" s="186"/>
      <c r="Z673" s="185"/>
      <c r="AA673" s="186"/>
      <c r="AB673" s="186"/>
      <c r="AC673" s="186"/>
      <c r="AD673" s="186"/>
      <c r="AE673" s="188">
        <v>758</v>
      </c>
      <c r="AF673" s="188">
        <v>680.63297995331004</v>
      </c>
      <c r="AG673" s="186" t="s">
        <v>155</v>
      </c>
      <c r="AH673" s="189">
        <v>0.78900000000000003</v>
      </c>
      <c r="AI673" s="183">
        <f t="shared" si="462"/>
        <v>537.01942118316163</v>
      </c>
      <c r="AJ673" s="186">
        <f t="shared" si="463"/>
        <v>8.9928554786772447E-2</v>
      </c>
      <c r="AK673" s="186"/>
      <c r="AL673" s="186">
        <f t="shared" si="464"/>
        <v>163.51833760180924</v>
      </c>
      <c r="AM673" s="187">
        <f t="shared" si="465"/>
        <v>111295.97339893082</v>
      </c>
      <c r="AN673" s="186"/>
      <c r="AO673" s="188">
        <v>1.2169421487603</v>
      </c>
      <c r="AQ673" s="186">
        <f t="shared" si="466"/>
        <v>828.2909611415073</v>
      </c>
      <c r="AR673" s="186">
        <f t="shared" si="467"/>
        <v>8.8129300269081904E-4</v>
      </c>
      <c r="AS673" s="187">
        <f>AR673*'DADOS BASE'!W$38</f>
        <v>264365.66375564918</v>
      </c>
      <c r="AU673" s="188">
        <v>0</v>
      </c>
      <c r="AV673" s="188">
        <v>0</v>
      </c>
      <c r="AW673" s="186">
        <f t="shared" si="468"/>
        <v>0</v>
      </c>
      <c r="AX673" s="186">
        <f>IF($AW$11&gt;0,(AW673/$AW$11)*'DADOS BASE'!W$40,0)</f>
        <v>0</v>
      </c>
      <c r="AY673" s="186">
        <f t="shared" si="469"/>
        <v>0</v>
      </c>
      <c r="AZ673" s="186">
        <f t="shared" si="470"/>
        <v>0</v>
      </c>
      <c r="BA673" s="186">
        <f>AZ673*'DADOS BASE'!W$41</f>
        <v>0</v>
      </c>
      <c r="BC673" s="188">
        <v>0</v>
      </c>
      <c r="BD673" s="186">
        <f>IF($BC$11&gt;0,(BC673/$BC$11)*'DADOS BASE'!W$39,0)</f>
        <v>0</v>
      </c>
      <c r="BE673" s="187"/>
    </row>
    <row r="674" spans="2:57" x14ac:dyDescent="0.3">
      <c r="B674" s="223" t="s">
        <v>752</v>
      </c>
      <c r="C674" s="223" t="s">
        <v>764</v>
      </c>
      <c r="D674" s="223" t="s">
        <v>92</v>
      </c>
      <c r="E674" s="223">
        <v>2009</v>
      </c>
      <c r="F674" s="224"/>
      <c r="G674" s="225"/>
      <c r="H674" s="226">
        <f ca="1">IF(AND(E674&gt;=2018,SUMIF('DADOS BASE'!$C$101:$D$104,D674,'DADOS BASE'!$H$101:$H$104)&gt;J674),
SUMIF('DADOS BASE'!$C$101:$D$104,D674,'DADOS BASE'!$H$101:$H$104),
J674)</f>
        <v>4417349.4113741703</v>
      </c>
      <c r="I674" s="225"/>
      <c r="J674" s="226">
        <f t="shared" si="459"/>
        <v>4417349.4113741703</v>
      </c>
      <c r="K674" s="226"/>
      <c r="L674" s="227">
        <v>4430.1403872446999</v>
      </c>
      <c r="M674" s="226">
        <f t="shared" si="460"/>
        <v>3.4561902206106496E-3</v>
      </c>
      <c r="N674" s="226">
        <f>L674*'DADOS BASE'!$I$29</f>
        <v>4362519.3036140185</v>
      </c>
      <c r="O674" s="228"/>
      <c r="P674" s="227">
        <v>0</v>
      </c>
      <c r="Q674" s="226">
        <f>P674*'DADOS BASE'!$I$33</f>
        <v>0</v>
      </c>
      <c r="R674" s="226"/>
      <c r="S674" s="227">
        <v>69.599999999999994</v>
      </c>
      <c r="T674" s="226">
        <f>S674*'DADOS BASE'!$I$37</f>
        <v>54830.10776015203</v>
      </c>
      <c r="U674" s="226"/>
      <c r="V674" s="226">
        <f t="shared" si="461"/>
        <v>54830.10776015203</v>
      </c>
      <c r="W674" s="228"/>
      <c r="X674" s="226"/>
      <c r="Y674" s="226"/>
      <c r="Z674" s="224"/>
      <c r="AA674" s="226"/>
      <c r="AB674" s="226"/>
      <c r="AC674" s="226"/>
      <c r="AD674" s="226"/>
      <c r="AE674" s="227">
        <v>1892</v>
      </c>
      <c r="AF674" s="227">
        <v>1527.511997219</v>
      </c>
      <c r="AG674" s="226" t="s">
        <v>155</v>
      </c>
      <c r="AH674" s="229">
        <v>0.80200000000000005</v>
      </c>
      <c r="AI674" s="225">
        <f t="shared" si="462"/>
        <v>1225.0646217696381</v>
      </c>
      <c r="AJ674" s="226">
        <f t="shared" si="463"/>
        <v>0.10746287760680986</v>
      </c>
      <c r="AK674" s="226"/>
      <c r="AL674" s="226">
        <f t="shared" si="464"/>
        <v>160.36783405223986</v>
      </c>
      <c r="AM674" s="228">
        <f t="shared" si="465"/>
        <v>244963.79048282208</v>
      </c>
      <c r="AN674" s="226"/>
      <c r="AO674" s="227">
        <v>0.98993288590604001</v>
      </c>
      <c r="AP674" s="225"/>
      <c r="AQ674" s="226">
        <f t="shared" si="466"/>
        <v>1512.1343596631036</v>
      </c>
      <c r="AR674" s="226">
        <f t="shared" si="467"/>
        <v>1.6088952950336314E-3</v>
      </c>
      <c r="AS674" s="228">
        <f>AR674*'DADOS BASE'!W$38</f>
        <v>482627.99237738457</v>
      </c>
      <c r="AT674" s="225"/>
      <c r="AU674" s="227">
        <v>69.599999999999994</v>
      </c>
      <c r="AV674" s="227">
        <v>87</v>
      </c>
      <c r="AW674" s="226">
        <f t="shared" si="468"/>
        <v>17.399999999999999</v>
      </c>
      <c r="AX674" s="226">
        <f>IF($AW$11&gt;0,(AW674/$AW$11)*'DADOS BASE'!W$40,0)</f>
        <v>3126.3689122834221</v>
      </c>
      <c r="AY674" s="226">
        <f t="shared" si="469"/>
        <v>17.224832214765094</v>
      </c>
      <c r="AZ674" s="226">
        <f t="shared" si="470"/>
        <v>9.0086415888423837E-4</v>
      </c>
      <c r="BA674" s="226">
        <f>AZ674*'DADOS BASE'!W$41</f>
        <v>6655.452672498287</v>
      </c>
      <c r="BB674" s="225"/>
      <c r="BC674" s="227">
        <v>301</v>
      </c>
      <c r="BD674" s="226">
        <f>IF($BC$11&gt;0,(BC674/$BC$11)*'DADOS BASE'!W$39,0)</f>
        <v>1626364.4077667105</v>
      </c>
      <c r="BE674" s="187"/>
    </row>
    <row r="675" spans="2:57" x14ac:dyDescent="0.3">
      <c r="B675" s="184" t="s">
        <v>752</v>
      </c>
      <c r="C675" s="184" t="s">
        <v>765</v>
      </c>
      <c r="D675" s="184" t="s">
        <v>92</v>
      </c>
      <c r="E675" s="184">
        <v>2009</v>
      </c>
      <c r="F675" s="185"/>
      <c r="H675" s="186">
        <f ca="1">IF(AND(E675&gt;=2018,SUMIF('DADOS BASE'!$C$101:$D$104,D675,'DADOS BASE'!$H$101:$H$104)&gt;J675),
SUMIF('DADOS BASE'!$C$101:$D$104,D675,'DADOS BASE'!$H$101:$H$104),
J675)</f>
        <v>3850016.714881008</v>
      </c>
      <c r="J675" s="186">
        <f t="shared" si="459"/>
        <v>3850016.714881008</v>
      </c>
      <c r="K675" s="186"/>
      <c r="L675" s="188">
        <v>3909.693769385</v>
      </c>
      <c r="M675" s="186">
        <f t="shared" si="460"/>
        <v>3.0501618888278473E-3</v>
      </c>
      <c r="N675" s="186">
        <f>L675*'DADOS BASE'!$I$29</f>
        <v>3850016.714881008</v>
      </c>
      <c r="O675" s="187"/>
      <c r="P675" s="188">
        <v>0</v>
      </c>
      <c r="Q675" s="186">
        <f>P675*'DADOS BASE'!$I$33</f>
        <v>0</v>
      </c>
      <c r="R675" s="186"/>
      <c r="S675" s="188">
        <v>0</v>
      </c>
      <c r="T675" s="186">
        <f>S675*'DADOS BASE'!$I$37</f>
        <v>0</v>
      </c>
      <c r="U675" s="186"/>
      <c r="V675" s="186">
        <f t="shared" si="461"/>
        <v>0</v>
      </c>
      <c r="W675" s="187"/>
      <c r="X675" s="186"/>
      <c r="Y675" s="186"/>
      <c r="Z675" s="185"/>
      <c r="AA675" s="186"/>
      <c r="AB675" s="186"/>
      <c r="AC675" s="186"/>
      <c r="AD675" s="186"/>
      <c r="AE675" s="188">
        <v>1005</v>
      </c>
      <c r="AF675" s="188">
        <v>1045.4465034272</v>
      </c>
      <c r="AG675" s="186" t="s">
        <v>155</v>
      </c>
      <c r="AH675" s="189">
        <v>0.70499999999999996</v>
      </c>
      <c r="AI675" s="183">
        <f t="shared" si="462"/>
        <v>737.03978491617602</v>
      </c>
      <c r="AJ675" s="186">
        <f t="shared" si="463"/>
        <v>-2.3370146511930864E-2</v>
      </c>
      <c r="AK675" s="186"/>
      <c r="AL675" s="186">
        <f t="shared" si="464"/>
        <v>183.87543746056505</v>
      </c>
      <c r="AM675" s="187">
        <f t="shared" si="465"/>
        <v>192231.93315929454</v>
      </c>
      <c r="AN675" s="186"/>
      <c r="AO675" s="188">
        <v>1.1736111111111001</v>
      </c>
      <c r="AQ675" s="186">
        <f t="shared" si="466"/>
        <v>1226.9476324944108</v>
      </c>
      <c r="AR675" s="186">
        <f t="shared" si="467"/>
        <v>1.3054595714713573E-3</v>
      </c>
      <c r="AS675" s="187">
        <f>AR675*'DADOS BASE'!W$38</f>
        <v>391604.93169065536</v>
      </c>
      <c r="AU675" s="188">
        <v>0</v>
      </c>
      <c r="AV675" s="188">
        <v>0</v>
      </c>
      <c r="AW675" s="186">
        <f t="shared" si="468"/>
        <v>0</v>
      </c>
      <c r="AX675" s="186">
        <f>IF($AW$11&gt;0,(AW675/$AW$11)*'DADOS BASE'!W$40,0)</f>
        <v>0</v>
      </c>
      <c r="AY675" s="186">
        <f t="shared" si="469"/>
        <v>0</v>
      </c>
      <c r="AZ675" s="186">
        <f t="shared" si="470"/>
        <v>0</v>
      </c>
      <c r="BA675" s="186">
        <f>AZ675*'DADOS BASE'!W$41</f>
        <v>0</v>
      </c>
      <c r="BC675" s="188">
        <v>268</v>
      </c>
      <c r="BD675" s="186">
        <f>IF($BC$11&gt;0,(BC675/$BC$11)*'DADOS BASE'!W$39,0)</f>
        <v>1448058.675353749</v>
      </c>
      <c r="BE675" s="187"/>
    </row>
    <row r="676" spans="2:57" x14ac:dyDescent="0.3">
      <c r="B676" s="223" t="s">
        <v>752</v>
      </c>
      <c r="C676" s="223" t="s">
        <v>766</v>
      </c>
      <c r="D676" s="223" t="s">
        <v>94</v>
      </c>
      <c r="E676" s="223">
        <v>2016</v>
      </c>
      <c r="F676" s="224"/>
      <c r="G676" s="225"/>
      <c r="H676" s="226">
        <f ca="1">IF(AND(E676&gt;=2018,SUMIF('DADOS BASE'!$C$101:$D$104,D676,'DADOS BASE'!$H$101:$H$104)&gt;J676),
SUMIF('DADOS BASE'!$C$101:$D$104,D676,'DADOS BASE'!$H$101:$H$104),
J676)</f>
        <v>1626384.2737193725</v>
      </c>
      <c r="I676" s="225"/>
      <c r="J676" s="226">
        <f t="shared" si="459"/>
        <v>1626384.2737193725</v>
      </c>
      <c r="K676" s="226"/>
      <c r="L676" s="227">
        <v>1651.0473742396</v>
      </c>
      <c r="M676" s="226">
        <f t="shared" si="460"/>
        <v>1.2880706455807866E-3</v>
      </c>
      <c r="N676" s="226">
        <f>L676*'DADOS BASE'!$I$29</f>
        <v>1625846.0029934146</v>
      </c>
      <c r="O676" s="228"/>
      <c r="P676" s="227">
        <v>0</v>
      </c>
      <c r="Q676" s="226">
        <f>P676*'DADOS BASE'!$I$33</f>
        <v>0</v>
      </c>
      <c r="R676" s="226"/>
      <c r="S676" s="227">
        <v>0.68326771653542995</v>
      </c>
      <c r="T676" s="226">
        <f>S676*'DADOS BASE'!$I$37</f>
        <v>538.27072595791151</v>
      </c>
      <c r="U676" s="226"/>
      <c r="V676" s="226">
        <f t="shared" si="461"/>
        <v>538.27072595791151</v>
      </c>
      <c r="W676" s="228"/>
      <c r="X676" s="226"/>
      <c r="Y676" s="226"/>
      <c r="Z676" s="224"/>
      <c r="AA676" s="226"/>
      <c r="AB676" s="226"/>
      <c r="AC676" s="226"/>
      <c r="AD676" s="226"/>
      <c r="AE676" s="227">
        <v>770</v>
      </c>
      <c r="AF676" s="227">
        <v>723.55851559881</v>
      </c>
      <c r="AG676" s="226" t="s">
        <v>155</v>
      </c>
      <c r="AH676" s="229">
        <v>0.78200000000000003</v>
      </c>
      <c r="AI676" s="225">
        <f t="shared" si="462"/>
        <v>565.82275919826941</v>
      </c>
      <c r="AJ676" s="226">
        <f t="shared" si="463"/>
        <v>8.0486996345213835E-2</v>
      </c>
      <c r="AK676" s="226"/>
      <c r="AL676" s="226">
        <f t="shared" si="464"/>
        <v>165.21476259003887</v>
      </c>
      <c r="AM676" s="228">
        <f t="shared" si="465"/>
        <v>119542.54837465833</v>
      </c>
      <c r="AN676" s="226"/>
      <c r="AO676" s="227">
        <v>1.4013698630136999</v>
      </c>
      <c r="AP676" s="225"/>
      <c r="AQ676" s="226">
        <f t="shared" si="466"/>
        <v>1013.9730978871004</v>
      </c>
      <c r="AR676" s="226">
        <f t="shared" si="467"/>
        <v>1.0788568727746486E-3</v>
      </c>
      <c r="AS676" s="228">
        <f>AR676*'DADOS BASE'!W$38</f>
        <v>323629.83978947363</v>
      </c>
      <c r="AT676" s="225"/>
      <c r="AU676" s="227">
        <v>0.68326771653542995</v>
      </c>
      <c r="AV676" s="227">
        <v>3.25</v>
      </c>
      <c r="AW676" s="226">
        <f t="shared" si="468"/>
        <v>0.17081692913385749</v>
      </c>
      <c r="AX676" s="226">
        <f>IF($AW$11&gt;0,(AW676/$AW$11)*'DADOS BASE'!W$40,0)</f>
        <v>30.691766490563936</v>
      </c>
      <c r="AY676" s="226">
        <f t="shared" si="469"/>
        <v>0.23937769658073477</v>
      </c>
      <c r="AZ676" s="226">
        <f t="shared" si="470"/>
        <v>1.2519529049519451E-5</v>
      </c>
      <c r="BA676" s="226">
        <f>AZ676*'DADOS BASE'!W$41</f>
        <v>92.492449887498793</v>
      </c>
      <c r="BB676" s="225"/>
      <c r="BC676" s="227">
        <v>0</v>
      </c>
      <c r="BD676" s="226">
        <f>IF($BC$11&gt;0,(BC676/$BC$11)*'DADOS BASE'!W$39,0)</f>
        <v>0</v>
      </c>
      <c r="BE676" s="187"/>
    </row>
    <row r="677" spans="2:57" x14ac:dyDescent="0.3">
      <c r="B677" s="184" t="s">
        <v>752</v>
      </c>
      <c r="C677" s="184" t="s">
        <v>767</v>
      </c>
      <c r="D677" s="184" t="s">
        <v>94</v>
      </c>
      <c r="E677" s="184">
        <v>2013</v>
      </c>
      <c r="F677" s="185"/>
      <c r="H677" s="186">
        <f ca="1">IF(AND(E677&gt;=2018,SUMIF('DADOS BASE'!$C$101:$D$104,D677,'DADOS BASE'!$H$101:$H$104)&gt;J677),
SUMIF('DADOS BASE'!$C$101:$D$104,D677,'DADOS BASE'!$H$101:$H$104),
J677)</f>
        <v>1176867.0205821113</v>
      </c>
      <c r="J677" s="186">
        <f t="shared" si="459"/>
        <v>1176867.0205821113</v>
      </c>
      <c r="K677" s="186"/>
      <c r="L677" s="188">
        <v>1195.1090082233</v>
      </c>
      <c r="M677" s="186">
        <f t="shared" si="460"/>
        <v>9.3236866232900961E-4</v>
      </c>
      <c r="N677" s="186">
        <f>L677*'DADOS BASE'!$I$29</f>
        <v>1176867.0205821113</v>
      </c>
      <c r="O677" s="187"/>
      <c r="P677" s="188">
        <v>0</v>
      </c>
      <c r="Q677" s="186">
        <f>P677*'DADOS BASE'!$I$33</f>
        <v>0</v>
      </c>
      <c r="R677" s="186"/>
      <c r="S677" s="188">
        <v>0</v>
      </c>
      <c r="T677" s="186">
        <f>S677*'DADOS BASE'!$I$37</f>
        <v>0</v>
      </c>
      <c r="U677" s="186"/>
      <c r="V677" s="186">
        <f t="shared" si="461"/>
        <v>0</v>
      </c>
      <c r="W677" s="187"/>
      <c r="X677" s="186"/>
      <c r="Y677" s="186"/>
      <c r="Z677" s="185"/>
      <c r="AA677" s="186"/>
      <c r="AB677" s="186"/>
      <c r="AC677" s="186"/>
      <c r="AD677" s="186"/>
      <c r="AE677" s="188">
        <v>846</v>
      </c>
      <c r="AF677" s="188">
        <v>642.80004014487997</v>
      </c>
      <c r="AG677" s="186" t="s">
        <v>155</v>
      </c>
      <c r="AH677" s="189">
        <v>0.76200000000000001</v>
      </c>
      <c r="AI677" s="183">
        <f t="shared" si="462"/>
        <v>489.81363059039853</v>
      </c>
      <c r="AJ677" s="186">
        <f t="shared" si="463"/>
        <v>5.3511115083617812E-2</v>
      </c>
      <c r="AK677" s="186"/>
      <c r="AL677" s="186">
        <f t="shared" si="464"/>
        <v>170.06169112783789</v>
      </c>
      <c r="AM677" s="187">
        <f t="shared" si="465"/>
        <v>109315.66188408037</v>
      </c>
      <c r="AN677" s="186"/>
      <c r="AO677" s="188">
        <v>1.2571964956195001</v>
      </c>
      <c r="AQ677" s="186">
        <f t="shared" si="466"/>
        <v>808.12595785421706</v>
      </c>
      <c r="AR677" s="186">
        <f t="shared" si="467"/>
        <v>8.5983764807505121E-4</v>
      </c>
      <c r="AS677" s="187">
        <f>AR677*'DADOS BASE'!W$38</f>
        <v>257929.59873891581</v>
      </c>
      <c r="AU677" s="188">
        <v>0</v>
      </c>
      <c r="AV677" s="188">
        <v>0</v>
      </c>
      <c r="AW677" s="186">
        <f t="shared" si="468"/>
        <v>0</v>
      </c>
      <c r="AX677" s="186">
        <f>IF($AW$11&gt;0,(AW677/$AW$11)*'DADOS BASE'!W$40,0)</f>
        <v>0</v>
      </c>
      <c r="AY677" s="186">
        <f t="shared" si="469"/>
        <v>0</v>
      </c>
      <c r="AZ677" s="186">
        <f t="shared" si="470"/>
        <v>0</v>
      </c>
      <c r="BA677" s="186">
        <f>AZ677*'DADOS BASE'!W$41</f>
        <v>0</v>
      </c>
      <c r="BC677" s="188">
        <v>0</v>
      </c>
      <c r="BD677" s="186">
        <f>IF($BC$11&gt;0,(BC677/$BC$11)*'DADOS BASE'!W$39,0)</f>
        <v>0</v>
      </c>
      <c r="BE677" s="187"/>
    </row>
    <row r="678" spans="2:57" x14ac:dyDescent="0.3">
      <c r="B678" s="223" t="s">
        <v>752</v>
      </c>
      <c r="C678" s="223" t="s">
        <v>768</v>
      </c>
      <c r="D678" s="223" t="s">
        <v>92</v>
      </c>
      <c r="E678" s="223">
        <v>2010</v>
      </c>
      <c r="F678" s="224"/>
      <c r="G678" s="225"/>
      <c r="H678" s="226">
        <f ca="1">IF(AND(E678&gt;=2018,SUMIF('DADOS BASE'!$C$101:$D$104,D678,'DADOS BASE'!$H$101:$H$104)&gt;J678),
SUMIF('DADOS BASE'!$C$101:$D$104,D678,'DADOS BASE'!$H$101:$H$104),
J678)</f>
        <v>3437197.7306428067</v>
      </c>
      <c r="I678" s="225"/>
      <c r="J678" s="226">
        <f t="shared" si="459"/>
        <v>3437197.7306428067</v>
      </c>
      <c r="K678" s="226"/>
      <c r="L678" s="227">
        <v>3489.4158983764</v>
      </c>
      <c r="M678" s="226">
        <f t="shared" si="460"/>
        <v>2.7222805711384097E-3</v>
      </c>
      <c r="N678" s="226">
        <f>L678*'DADOS BASE'!$I$29</f>
        <v>3436153.9103442119</v>
      </c>
      <c r="O678" s="228"/>
      <c r="P678" s="227">
        <v>0</v>
      </c>
      <c r="Q678" s="226">
        <f>P678*'DADOS BASE'!$I$33</f>
        <v>0</v>
      </c>
      <c r="R678" s="226"/>
      <c r="S678" s="227">
        <v>1.325</v>
      </c>
      <c r="T678" s="226">
        <f>S678*'DADOS BASE'!$I$37</f>
        <v>1043.8202985948483</v>
      </c>
      <c r="U678" s="226"/>
      <c r="V678" s="226">
        <f t="shared" si="461"/>
        <v>1043.8202985948483</v>
      </c>
      <c r="W678" s="228"/>
      <c r="X678" s="226"/>
      <c r="Y678" s="226"/>
      <c r="Z678" s="224"/>
      <c r="AA678" s="226"/>
      <c r="AB678" s="226"/>
      <c r="AC678" s="226"/>
      <c r="AD678" s="226"/>
      <c r="AE678" s="227">
        <v>1708</v>
      </c>
      <c r="AF678" s="227">
        <v>1445.1013827094</v>
      </c>
      <c r="AG678" s="226" t="s">
        <v>155</v>
      </c>
      <c r="AH678" s="229">
        <v>0.76400000000000001</v>
      </c>
      <c r="AI678" s="225">
        <f t="shared" si="462"/>
        <v>1104.0574563899816</v>
      </c>
      <c r="AJ678" s="226">
        <f t="shared" si="463"/>
        <v>5.6208703209777416E-2</v>
      </c>
      <c r="AK678" s="226"/>
      <c r="AL678" s="226">
        <f t="shared" si="464"/>
        <v>169.57699827405798</v>
      </c>
      <c r="AM678" s="228">
        <f t="shared" si="465"/>
        <v>245055.95468155073</v>
      </c>
      <c r="AN678" s="226"/>
      <c r="AO678" s="227">
        <v>1.2164131812421</v>
      </c>
      <c r="AP678" s="225"/>
      <c r="AQ678" s="226">
        <f t="shared" si="466"/>
        <v>1757.8403701588986</v>
      </c>
      <c r="AR678" s="226">
        <f t="shared" si="467"/>
        <v>1.8703239450222761E-3</v>
      </c>
      <c r="AS678" s="228">
        <f>AR678*'DADOS BASE'!W$38</f>
        <v>561049.99092721066</v>
      </c>
      <c r="AT678" s="225"/>
      <c r="AU678" s="227">
        <v>1.325</v>
      </c>
      <c r="AV678" s="227">
        <v>12.25</v>
      </c>
      <c r="AW678" s="226">
        <f t="shared" si="468"/>
        <v>0.33124999999999999</v>
      </c>
      <c r="AX678" s="226">
        <f>IF($AW$11&gt;0,(AW678/$AW$11)*'DADOS BASE'!W$40,0)</f>
        <v>59.517798976659975</v>
      </c>
      <c r="AY678" s="226">
        <f t="shared" si="469"/>
        <v>0.40293686628644559</v>
      </c>
      <c r="AZ678" s="226">
        <f t="shared" si="470"/>
        <v>2.1073725224413745E-5</v>
      </c>
      <c r="BA678" s="226">
        <f>AZ678*'DADOS BASE'!W$41</f>
        <v>155.6896003477722</v>
      </c>
      <c r="BB678" s="225"/>
      <c r="BC678" s="227">
        <v>0</v>
      </c>
      <c r="BD678" s="226">
        <f>IF($BC$11&gt;0,(BC678/$BC$11)*'DADOS BASE'!W$39,0)</f>
        <v>0</v>
      </c>
      <c r="BE678" s="187"/>
    </row>
    <row r="679" spans="2:57" x14ac:dyDescent="0.3">
      <c r="F679" s="185"/>
      <c r="H679" s="186"/>
      <c r="J679" s="186"/>
      <c r="K679" s="186"/>
      <c r="L679" s="186"/>
      <c r="M679" s="186"/>
      <c r="N679" s="186"/>
      <c r="O679" s="187"/>
      <c r="P679" s="186"/>
      <c r="Q679" s="186"/>
      <c r="R679" s="186"/>
      <c r="S679" s="186"/>
      <c r="T679" s="186"/>
      <c r="U679" s="186"/>
      <c r="V679" s="186"/>
      <c r="W679" s="187"/>
      <c r="X679" s="186"/>
      <c r="Y679" s="186"/>
      <c r="Z679" s="185"/>
      <c r="AA679" s="186"/>
      <c r="AB679" s="186"/>
      <c r="AC679" s="186"/>
      <c r="AD679" s="186"/>
      <c r="AE679" s="186"/>
      <c r="AF679" s="186"/>
      <c r="AG679" s="186"/>
      <c r="AH679" s="185"/>
      <c r="AJ679" s="186"/>
      <c r="AK679" s="186"/>
      <c r="AL679" s="186"/>
      <c r="AM679" s="187"/>
      <c r="AN679" s="186"/>
      <c r="AO679" s="186"/>
      <c r="AQ679" s="186"/>
      <c r="AR679" s="186"/>
      <c r="AS679" s="187"/>
      <c r="AU679" s="186"/>
      <c r="AV679" s="186"/>
      <c r="AW679" s="186"/>
      <c r="AX679" s="186"/>
      <c r="AY679" s="186"/>
      <c r="AZ679" s="186"/>
      <c r="BA679" s="186"/>
      <c r="BC679" s="186"/>
      <c r="BD679" s="186"/>
      <c r="BE679" s="187"/>
    </row>
    <row r="680" spans="2:57" x14ac:dyDescent="0.3">
      <c r="B680" s="209" t="s">
        <v>752</v>
      </c>
      <c r="C680" s="209" t="s">
        <v>769</v>
      </c>
      <c r="D680" s="211" t="s">
        <v>154</v>
      </c>
      <c r="E680" s="211"/>
      <c r="F680" s="210"/>
      <c r="G680" s="211"/>
      <c r="H680" s="212">
        <f ca="1">SUM(H681:H704)</f>
        <v>48964241.94024694</v>
      </c>
      <c r="I680" s="211"/>
      <c r="J680" s="212">
        <f>SUM(J681:J704)</f>
        <v>48964241.94024694</v>
      </c>
      <c r="K680" s="212"/>
      <c r="L680" s="212">
        <f>SUM(L681:L704)</f>
        <v>48238.911007682465</v>
      </c>
      <c r="M680" s="212">
        <f>SUM(M681:M704)</f>
        <v>3.7633762793993955E-2</v>
      </c>
      <c r="N680" s="212">
        <f>SUM(N681:N704)</f>
        <v>47502598.577291898</v>
      </c>
      <c r="O680" s="214"/>
      <c r="P680" s="212">
        <f>SUM(P681:P704)</f>
        <v>95.758016126720293</v>
      </c>
      <c r="Q680" s="212">
        <f>SUM(Q681:Q704)</f>
        <v>23574.094572227237</v>
      </c>
      <c r="R680" s="212"/>
      <c r="S680" s="212">
        <f>SUM(S681:S704)</f>
        <v>1825.4500158430183</v>
      </c>
      <c r="T680" s="212">
        <f>SUM(T681:T704)</f>
        <v>1438069.2683828152</v>
      </c>
      <c r="U680" s="212"/>
      <c r="V680" s="212">
        <f>SUM(V681:V704)</f>
        <v>1461643.3629550424</v>
      </c>
      <c r="W680" s="214"/>
      <c r="X680" s="212">
        <f>SUMIF(INDICADORES!$D$13:$D$53,C680,INDICADORES!$L$13:$L$53)</f>
        <v>7.1926565000643853E-3</v>
      </c>
      <c r="Y680" s="212">
        <f>X680*'DADOS BASE'!$I$79</f>
        <v>298662.23329966341</v>
      </c>
      <c r="Z680" s="210">
        <f>SUMIF(INDICADORES!$D$13:$D$53,C680,INDICADORES!$R$13:$R$53)</f>
        <v>3.8111066536764278E-2</v>
      </c>
      <c r="AA680" s="212">
        <f>Z680*'DADOS BASE'!$I$84</f>
        <v>1582494.0681096334</v>
      </c>
      <c r="AB680" s="212">
        <f>SUMIF(INDICADORES!$D$13:$D$53,C680,INDICADORES!$Z$13:$Z$53)</f>
        <v>1.7691349455621549E-2</v>
      </c>
      <c r="AC680" s="212">
        <f>AB680*'DADOS BASE'!$I$89</f>
        <v>1469203.4684134906</v>
      </c>
      <c r="AD680" s="212"/>
      <c r="AE680" s="212">
        <f>SUM(AE681:AE704)</f>
        <v>36090</v>
      </c>
      <c r="AF680" s="212">
        <f>SUM(AF681:AF704)</f>
        <v>21194.38447774715</v>
      </c>
      <c r="AG680" s="212" t="s">
        <v>155</v>
      </c>
      <c r="AH680" s="210"/>
      <c r="AI680" s="211"/>
      <c r="AJ680" s="212"/>
      <c r="AK680" s="212"/>
      <c r="AL680" s="212"/>
      <c r="AM680" s="214">
        <f>SUM(AM681:AM704)</f>
        <v>3424144.6098647057</v>
      </c>
      <c r="AN680" s="212"/>
      <c r="AO680" s="212"/>
      <c r="AP680" s="211"/>
      <c r="AQ680" s="212">
        <f>SUM(AQ681:AQ704)</f>
        <v>35394.310609841632</v>
      </c>
      <c r="AR680" s="212"/>
      <c r="AS680" s="214">
        <f>SUM(AS681:AS704)</f>
        <v>11296803.727821702</v>
      </c>
      <c r="AT680" s="211"/>
      <c r="AU680" s="212">
        <f t="shared" ref="AU680:BA680" si="471">SUM(AU681:AU704)</f>
        <v>944.13602282058628</v>
      </c>
      <c r="AV680" s="212">
        <f t="shared" si="471"/>
        <v>1310.75</v>
      </c>
      <c r="AW680" s="212">
        <f t="shared" si="471"/>
        <v>236.03400570514657</v>
      </c>
      <c r="AX680" s="212">
        <f t="shared" si="471"/>
        <v>42409.734349327482</v>
      </c>
      <c r="AY680" s="212">
        <f t="shared" si="471"/>
        <v>363.04832337590426</v>
      </c>
      <c r="AZ680" s="212">
        <f t="shared" si="471"/>
        <v>1.8987541846243013E-2</v>
      </c>
      <c r="BA680" s="212">
        <f t="shared" si="471"/>
        <v>140277.18261237856</v>
      </c>
      <c r="BB680" s="211"/>
      <c r="BC680" s="212">
        <f>SUM(BC681:BC704)</f>
        <v>0</v>
      </c>
      <c r="BD680" s="212">
        <f>SUM(BD681:BD704)</f>
        <v>0</v>
      </c>
      <c r="BE680" s="187"/>
    </row>
    <row r="681" spans="2:57" x14ac:dyDescent="0.3">
      <c r="B681" s="216" t="s">
        <v>752</v>
      </c>
      <c r="C681" s="218" t="s">
        <v>156</v>
      </c>
      <c r="D681" s="218" t="s">
        <v>157</v>
      </c>
      <c r="E681" s="218"/>
      <c r="F681" s="217"/>
      <c r="G681" s="218"/>
      <c r="H681" s="219"/>
      <c r="I681" s="218"/>
      <c r="J681" s="219"/>
      <c r="K681" s="219"/>
      <c r="L681" s="219">
        <v>0</v>
      </c>
      <c r="M681" s="219">
        <v>0</v>
      </c>
      <c r="N681" s="219">
        <v>0</v>
      </c>
      <c r="O681" s="221"/>
      <c r="P681" s="219"/>
      <c r="Q681" s="219"/>
      <c r="R681" s="219"/>
      <c r="S681" s="219"/>
      <c r="T681" s="219"/>
      <c r="U681" s="219"/>
      <c r="V681" s="219"/>
      <c r="W681" s="221"/>
      <c r="X681" s="219"/>
      <c r="Y681" s="219"/>
      <c r="Z681" s="217"/>
      <c r="AA681" s="219"/>
      <c r="AB681" s="219"/>
      <c r="AC681" s="219"/>
      <c r="AD681" s="219"/>
      <c r="AE681" s="219"/>
      <c r="AF681" s="219"/>
      <c r="AG681" s="219" t="s">
        <v>155</v>
      </c>
      <c r="AH681" s="217"/>
      <c r="AI681" s="218"/>
      <c r="AJ681" s="219"/>
      <c r="AK681" s="219"/>
      <c r="AL681" s="219"/>
      <c r="AM681" s="221"/>
      <c r="AN681" s="219"/>
      <c r="AO681" s="219"/>
      <c r="AP681" s="218"/>
      <c r="AQ681" s="219"/>
      <c r="AR681" s="219"/>
      <c r="AS681" s="221"/>
      <c r="AT681" s="218"/>
      <c r="AU681" s="219"/>
      <c r="AV681" s="219"/>
      <c r="AW681" s="219"/>
      <c r="AX681" s="219"/>
      <c r="AY681" s="219"/>
      <c r="AZ681" s="219"/>
      <c r="BA681" s="219"/>
      <c r="BB681" s="218"/>
      <c r="BC681" s="219"/>
      <c r="BD681" s="219"/>
      <c r="BE681" s="187"/>
    </row>
    <row r="682" spans="2:57" x14ac:dyDescent="0.3">
      <c r="B682" s="223" t="s">
        <v>752</v>
      </c>
      <c r="C682" s="223" t="s">
        <v>770</v>
      </c>
      <c r="D682" s="223" t="s">
        <v>94</v>
      </c>
      <c r="E682" s="223">
        <v>2008</v>
      </c>
      <c r="F682" s="224"/>
      <c r="G682" s="225"/>
      <c r="H682" s="226">
        <f ca="1">IF(AND(E682&gt;=2018,SUMIF('DADOS BASE'!$C$101:$D$104,D682,'DADOS BASE'!$H$101:$H$104)&gt;J682),
SUMIF('DADOS BASE'!$C$101:$D$104,D682,'DADOS BASE'!$H$101:$H$104),
J682)</f>
        <v>2086649.0340074289</v>
      </c>
      <c r="I682" s="225"/>
      <c r="J682" s="226">
        <f t="shared" ref="J682:J704" si="472">N682+Q682+T682</f>
        <v>2086649.0340074289</v>
      </c>
      <c r="K682" s="226"/>
      <c r="L682" s="227">
        <v>2118.9930671259999</v>
      </c>
      <c r="M682" s="226">
        <f t="shared" ref="M682:M704" si="473">L682/$L$11</f>
        <v>1.6531401887915213E-3</v>
      </c>
      <c r="N682" s="226">
        <f>L682*'DADOS BASE'!$I$29</f>
        <v>2086649.0340074289</v>
      </c>
      <c r="O682" s="228"/>
      <c r="P682" s="227">
        <v>0</v>
      </c>
      <c r="Q682" s="226">
        <f>P682*'DADOS BASE'!$I$33</f>
        <v>0</v>
      </c>
      <c r="R682" s="226"/>
      <c r="S682" s="227">
        <v>0</v>
      </c>
      <c r="T682" s="226">
        <f>S682*'DADOS BASE'!$I$37</f>
        <v>0</v>
      </c>
      <c r="U682" s="226"/>
      <c r="V682" s="226">
        <f t="shared" ref="V682:V704" si="474">T682+Q682</f>
        <v>0</v>
      </c>
      <c r="W682" s="228"/>
      <c r="X682" s="226"/>
      <c r="Y682" s="226"/>
      <c r="Z682" s="224"/>
      <c r="AA682" s="226"/>
      <c r="AB682" s="226"/>
      <c r="AC682" s="226"/>
      <c r="AD682" s="226"/>
      <c r="AE682" s="227">
        <v>1282</v>
      </c>
      <c r="AF682" s="227">
        <v>852.25337039092994</v>
      </c>
      <c r="AG682" s="226" t="s">
        <v>155</v>
      </c>
      <c r="AH682" s="229">
        <v>0.76</v>
      </c>
      <c r="AI682" s="225">
        <f t="shared" ref="AI682:AI704" si="475">AF682*AH682</f>
        <v>647.71256149710678</v>
      </c>
      <c r="AJ682" s="226">
        <f t="shared" ref="AJ682:AJ704" si="476">(AH682-$AI$12)*$AJ$12</f>
        <v>5.0813526957458208E-2</v>
      </c>
      <c r="AK682" s="226"/>
      <c r="AL682" s="226">
        <f t="shared" ref="AL682:AL704" si="477">$AL$11-(AJ682*$AL$11)</f>
        <v>170.54638398161779</v>
      </c>
      <c r="AM682" s="228">
        <f t="shared" ref="AM682:AM704" si="478">AF682*AL682</f>
        <v>145348.73055631947</v>
      </c>
      <c r="AN682" s="226"/>
      <c r="AO682" s="227">
        <v>1.7833333333332999</v>
      </c>
      <c r="AP682" s="225"/>
      <c r="AQ682" s="226">
        <f t="shared" ref="AQ682:AQ704" si="479">AF682*AO682</f>
        <v>1519.8518438637966</v>
      </c>
      <c r="AR682" s="226">
        <f t="shared" ref="AR682:AR704" si="480">AQ682/$AQ$11</f>
        <v>1.6171066182805668E-3</v>
      </c>
      <c r="AS682" s="228">
        <f>AR682*'DADOS BASE'!W$38</f>
        <v>485091.18216087349</v>
      </c>
      <c r="AT682" s="225"/>
      <c r="AU682" s="227">
        <v>0</v>
      </c>
      <c r="AV682" s="227">
        <v>0</v>
      </c>
      <c r="AW682" s="226">
        <f t="shared" ref="AW682:AW704" si="481">AU682/4</f>
        <v>0</v>
      </c>
      <c r="AX682" s="226">
        <f>IF($AW$11&gt;0,(AW682/$AW$11)*'DADOS BASE'!W$40,0)</f>
        <v>0</v>
      </c>
      <c r="AY682" s="226">
        <f t="shared" ref="AY682:AY704" si="482">AO682*AW682</f>
        <v>0</v>
      </c>
      <c r="AZ682" s="226">
        <f t="shared" ref="AZ682:AZ704" si="483">IF($AY$11&gt;0,AY682/$AY$11,0)</f>
        <v>0</v>
      </c>
      <c r="BA682" s="226">
        <f>AZ682*'DADOS BASE'!W$41</f>
        <v>0</v>
      </c>
      <c r="BB682" s="225"/>
      <c r="BC682" s="227">
        <v>0</v>
      </c>
      <c r="BD682" s="226">
        <f>IF($BC$11&gt;0,(BC682/$BC$11)*'DADOS BASE'!W$39,0)</f>
        <v>0</v>
      </c>
      <c r="BE682" s="187"/>
    </row>
    <row r="683" spans="2:57" x14ac:dyDescent="0.3">
      <c r="B683" s="184" t="s">
        <v>752</v>
      </c>
      <c r="C683" s="184" t="s">
        <v>771</v>
      </c>
      <c r="D683" s="184" t="s">
        <v>98</v>
      </c>
      <c r="E683" s="184">
        <v>2015</v>
      </c>
      <c r="F683" s="185"/>
      <c r="H683" s="186">
        <f ca="1">IF(AND(E683&gt;=2018,SUMIF('DADOS BASE'!$C$101:$D$104,D683,'DADOS BASE'!$H$101:$H$104)&gt;J683),
SUMIF('DADOS BASE'!$C$101:$D$104,D683,'DADOS BASE'!$H$101:$H$104),
J683)</f>
        <v>193195.67412239398</v>
      </c>
      <c r="J683" s="186">
        <f t="shared" si="472"/>
        <v>193195.67412239398</v>
      </c>
      <c r="K683" s="186"/>
      <c r="L683" s="188">
        <v>187.75029716648999</v>
      </c>
      <c r="M683" s="186">
        <f t="shared" si="473"/>
        <v>1.4647408078802352E-4</v>
      </c>
      <c r="N683" s="186">
        <f>L683*'DADOS BASE'!$I$29</f>
        <v>184884.50117886518</v>
      </c>
      <c r="O683" s="187"/>
      <c r="P683" s="188">
        <v>0</v>
      </c>
      <c r="Q683" s="186">
        <f>P683*'DADOS BASE'!$I$33</f>
        <v>0</v>
      </c>
      <c r="R683" s="186"/>
      <c r="S683" s="188">
        <v>10.55</v>
      </c>
      <c r="T683" s="186">
        <f>S683*'DADOS BASE'!$I$37</f>
        <v>8311.1729435287925</v>
      </c>
      <c r="U683" s="186"/>
      <c r="V683" s="186">
        <f t="shared" si="474"/>
        <v>8311.1729435287925</v>
      </c>
      <c r="W683" s="187"/>
      <c r="X683" s="186"/>
      <c r="Y683" s="186"/>
      <c r="Z683" s="185"/>
      <c r="AA683" s="186"/>
      <c r="AB683" s="186"/>
      <c r="AC683" s="186"/>
      <c r="AD683" s="186"/>
      <c r="AE683" s="188">
        <v>744</v>
      </c>
      <c r="AF683" s="188">
        <v>133.37042193810001</v>
      </c>
      <c r="AG683" s="186" t="s">
        <v>155</v>
      </c>
      <c r="AH683" s="189">
        <v>0.749</v>
      </c>
      <c r="AI683" s="183">
        <f t="shared" si="475"/>
        <v>99.894446031636903</v>
      </c>
      <c r="AJ683" s="186">
        <f t="shared" si="476"/>
        <v>3.5976792263580394E-2</v>
      </c>
      <c r="AK683" s="186"/>
      <c r="AL683" s="186">
        <f t="shared" si="477"/>
        <v>173.21219467740724</v>
      </c>
      <c r="AM683" s="187">
        <f t="shared" si="478"/>
        <v>23101.383488950123</v>
      </c>
      <c r="AN683" s="186"/>
      <c r="AO683" s="188">
        <v>1.7868377483444</v>
      </c>
      <c r="AQ683" s="186">
        <f t="shared" si="479"/>
        <v>238.3113044316172</v>
      </c>
      <c r="AR683" s="186">
        <f t="shared" si="480"/>
        <v>2.5356075933542045E-4</v>
      </c>
      <c r="AS683" s="187">
        <f>AR683*'DADOS BASE'!W$38</f>
        <v>76061.829878855526</v>
      </c>
      <c r="AU683" s="188">
        <v>10.55</v>
      </c>
      <c r="AV683" s="188">
        <v>37</v>
      </c>
      <c r="AW683" s="186">
        <f t="shared" si="481"/>
        <v>2.6375000000000002</v>
      </c>
      <c r="AX683" s="186">
        <f>IF($AW$11&gt;0,(AW683/$AW$11)*'DADOS BASE'!W$40,0)</f>
        <v>473.89643713491535</v>
      </c>
      <c r="AY683" s="186">
        <f t="shared" si="482"/>
        <v>4.7127845612583554</v>
      </c>
      <c r="AZ683" s="186">
        <f t="shared" si="483"/>
        <v>2.4648011933267665E-4</v>
      </c>
      <c r="BA683" s="186">
        <f>AZ683*'DADOS BASE'!W$41</f>
        <v>1820.9590788494856</v>
      </c>
      <c r="BC683" s="188">
        <v>0</v>
      </c>
      <c r="BD683" s="186">
        <f>IF($BC$11&gt;0,(BC683/$BC$11)*'DADOS BASE'!W$39,0)</f>
        <v>0</v>
      </c>
      <c r="BE683" s="187"/>
    </row>
    <row r="684" spans="2:57" x14ac:dyDescent="0.3">
      <c r="B684" s="223" t="s">
        <v>752</v>
      </c>
      <c r="C684" s="223" t="s">
        <v>772</v>
      </c>
      <c r="D684" s="223" t="s">
        <v>94</v>
      </c>
      <c r="E684" s="223">
        <v>2011</v>
      </c>
      <c r="F684" s="224"/>
      <c r="G684" s="225"/>
      <c r="H684" s="226">
        <f ca="1">IF(AND(E684&gt;=2018,SUMIF('DADOS BASE'!$C$101:$D$104,D684,'DADOS BASE'!$H$101:$H$104)&gt;J684),
SUMIF('DADOS BASE'!$C$101:$D$104,D684,'DADOS BASE'!$H$101:$H$104),
J684)</f>
        <v>1351450.5814308678</v>
      </c>
      <c r="I684" s="225"/>
      <c r="J684" s="226">
        <f t="shared" si="472"/>
        <v>1351450.5814308678</v>
      </c>
      <c r="K684" s="226"/>
      <c r="L684" s="227">
        <v>1372.0428808306001</v>
      </c>
      <c r="M684" s="226">
        <f t="shared" si="473"/>
        <v>1.0704042699501151E-3</v>
      </c>
      <c r="N684" s="226">
        <f>L684*'DADOS BASE'!$I$29</f>
        <v>1351100.1976920122</v>
      </c>
      <c r="O684" s="228"/>
      <c r="P684" s="227">
        <v>1.4232594008255</v>
      </c>
      <c r="Q684" s="226">
        <f>P684*'DADOS BASE'!$I$33</f>
        <v>350.38373885556564</v>
      </c>
      <c r="R684" s="226"/>
      <c r="S684" s="227">
        <v>0</v>
      </c>
      <c r="T684" s="226">
        <f>S684*'DADOS BASE'!$I$37</f>
        <v>0</v>
      </c>
      <c r="U684" s="226"/>
      <c r="V684" s="226">
        <f t="shared" si="474"/>
        <v>350.38373885556564</v>
      </c>
      <c r="W684" s="228"/>
      <c r="X684" s="226"/>
      <c r="Y684" s="226"/>
      <c r="Z684" s="224"/>
      <c r="AA684" s="226"/>
      <c r="AB684" s="226"/>
      <c r="AC684" s="226"/>
      <c r="AD684" s="226"/>
      <c r="AE684" s="227">
        <v>894</v>
      </c>
      <c r="AF684" s="227">
        <v>739.96226732747004</v>
      </c>
      <c r="AG684" s="226" t="s">
        <v>155</v>
      </c>
      <c r="AH684" s="229">
        <v>0.73499999999999999</v>
      </c>
      <c r="AI684" s="225">
        <f t="shared" si="475"/>
        <v>543.87226648569049</v>
      </c>
      <c r="AJ684" s="226">
        <f t="shared" si="476"/>
        <v>1.7093675380463177E-2</v>
      </c>
      <c r="AK684" s="226"/>
      <c r="AL684" s="226">
        <f t="shared" si="477"/>
        <v>176.60504465386654</v>
      </c>
      <c r="AM684" s="228">
        <f t="shared" si="478"/>
        <v>130681.06926354418</v>
      </c>
      <c r="AN684" s="226"/>
      <c r="AO684" s="227">
        <v>1.6421319796953999</v>
      </c>
      <c r="AP684" s="225"/>
      <c r="AQ684" s="226">
        <f t="shared" si="479"/>
        <v>1215.1157029463552</v>
      </c>
      <c r="AR684" s="226">
        <f t="shared" si="480"/>
        <v>1.2928705209948657E-3</v>
      </c>
      <c r="AS684" s="228">
        <f>AR684*'DADOS BASE'!W$38</f>
        <v>387828.53419843712</v>
      </c>
      <c r="AT684" s="225"/>
      <c r="AU684" s="227">
        <v>0</v>
      </c>
      <c r="AV684" s="227">
        <v>4.75</v>
      </c>
      <c r="AW684" s="226">
        <f t="shared" si="481"/>
        <v>0</v>
      </c>
      <c r="AX684" s="226">
        <f>IF($AW$11&gt;0,(AW684/$AW$11)*'DADOS BASE'!W$40,0)</f>
        <v>0</v>
      </c>
      <c r="AY684" s="226">
        <f t="shared" si="482"/>
        <v>0</v>
      </c>
      <c r="AZ684" s="226">
        <f t="shared" si="483"/>
        <v>0</v>
      </c>
      <c r="BA684" s="226">
        <f>AZ684*'DADOS BASE'!W$41</f>
        <v>0</v>
      </c>
      <c r="BB684" s="225"/>
      <c r="BC684" s="227">
        <v>0</v>
      </c>
      <c r="BD684" s="226">
        <f>IF($BC$11&gt;0,(BC684/$BC$11)*'DADOS BASE'!W$39,0)</f>
        <v>0</v>
      </c>
      <c r="BE684" s="187"/>
    </row>
    <row r="685" spans="2:57" x14ac:dyDescent="0.3">
      <c r="B685" s="184" t="s">
        <v>752</v>
      </c>
      <c r="C685" s="184" t="s">
        <v>773</v>
      </c>
      <c r="D685" s="184" t="s">
        <v>94</v>
      </c>
      <c r="E685" s="184">
        <v>2010</v>
      </c>
      <c r="F685" s="185"/>
      <c r="H685" s="186">
        <f ca="1">IF(AND(E685&gt;=2018,SUMIF('DADOS BASE'!$C$101:$D$104,D685,'DADOS BASE'!$H$101:$H$104)&gt;J685),
SUMIF('DADOS BASE'!$C$101:$D$104,D685,'DADOS BASE'!$H$101:$H$104),
J685)</f>
        <v>1985339.5216581593</v>
      </c>
      <c r="J685" s="186">
        <f t="shared" si="472"/>
        <v>1985339.5216581593</v>
      </c>
      <c r="K685" s="186"/>
      <c r="L685" s="188">
        <v>2014.7265434238</v>
      </c>
      <c r="M685" s="186">
        <f t="shared" si="473"/>
        <v>1.5717962791054585E-3</v>
      </c>
      <c r="N685" s="186">
        <f>L685*'DADOS BASE'!$I$29</f>
        <v>1983974.0208901863</v>
      </c>
      <c r="O685" s="187"/>
      <c r="P685" s="188">
        <v>0</v>
      </c>
      <c r="Q685" s="186">
        <f>P685*'DADOS BASE'!$I$33</f>
        <v>0</v>
      </c>
      <c r="R685" s="186"/>
      <c r="S685" s="188">
        <v>1.7333333333333001</v>
      </c>
      <c r="T685" s="186">
        <f>S685*'DADOS BASE'!$I$37</f>
        <v>1365.5007679731089</v>
      </c>
      <c r="U685" s="186"/>
      <c r="V685" s="186">
        <f t="shared" si="474"/>
        <v>1365.5007679731089</v>
      </c>
      <c r="W685" s="187"/>
      <c r="X685" s="186"/>
      <c r="Y685" s="186"/>
      <c r="Z685" s="185"/>
      <c r="AA685" s="186"/>
      <c r="AB685" s="186"/>
      <c r="AC685" s="186"/>
      <c r="AD685" s="186"/>
      <c r="AE685" s="188">
        <v>1005</v>
      </c>
      <c r="AF685" s="188">
        <v>790.29818594802998</v>
      </c>
      <c r="AG685" s="186" t="s">
        <v>155</v>
      </c>
      <c r="AH685" s="189">
        <v>0.75700000000000001</v>
      </c>
      <c r="AI685" s="183">
        <f t="shared" si="475"/>
        <v>598.2557267626587</v>
      </c>
      <c r="AJ685" s="186">
        <f t="shared" si="476"/>
        <v>4.6767144768218805E-2</v>
      </c>
      <c r="AK685" s="186"/>
      <c r="AL685" s="186">
        <f t="shared" si="477"/>
        <v>171.27342326228762</v>
      </c>
      <c r="AM685" s="187">
        <f t="shared" si="478"/>
        <v>135357.07570529502</v>
      </c>
      <c r="AN685" s="186"/>
      <c r="AO685" s="188">
        <v>1.6307803468208</v>
      </c>
      <c r="AQ685" s="186">
        <f t="shared" si="479"/>
        <v>1288.8027497721773</v>
      </c>
      <c r="AR685" s="186">
        <f t="shared" si="480"/>
        <v>1.3712727755203179E-3</v>
      </c>
      <c r="AS685" s="187">
        <f>AR685*'DADOS BASE'!W$38</f>
        <v>411347.23228667333</v>
      </c>
      <c r="AU685" s="188">
        <v>1.7333333333333001</v>
      </c>
      <c r="AV685" s="188">
        <v>11</v>
      </c>
      <c r="AW685" s="186">
        <f t="shared" si="481"/>
        <v>0.43333333333332502</v>
      </c>
      <c r="AX685" s="186">
        <f>IF($AW$11&gt;0,(AW685/$AW$11)*'DADOS BASE'!W$40,0)</f>
        <v>77.859762183302124</v>
      </c>
      <c r="AY685" s="186">
        <f t="shared" si="482"/>
        <v>0.70667148362233312</v>
      </c>
      <c r="AZ685" s="186">
        <f t="shared" si="483"/>
        <v>3.6959141532606906E-5</v>
      </c>
      <c r="BA685" s="186">
        <f>AZ685*'DADOS BASE'!W$41</f>
        <v>273.04873310876121</v>
      </c>
      <c r="BC685" s="188">
        <v>0</v>
      </c>
      <c r="BD685" s="186">
        <f>IF($BC$11&gt;0,(BC685/$BC$11)*'DADOS BASE'!W$39,0)</f>
        <v>0</v>
      </c>
      <c r="BE685" s="187"/>
    </row>
    <row r="686" spans="2:57" x14ac:dyDescent="0.3">
      <c r="B686" s="223" t="s">
        <v>752</v>
      </c>
      <c r="C686" s="223" t="s">
        <v>774</v>
      </c>
      <c r="D686" s="223" t="s">
        <v>94</v>
      </c>
      <c r="E686" s="223">
        <v>2006</v>
      </c>
      <c r="F686" s="224"/>
      <c r="G686" s="225"/>
      <c r="H686" s="226">
        <f ca="1">IF(AND(E686&gt;=2018,SUMIF('DADOS BASE'!$C$101:$D$104,D686,'DADOS BASE'!$H$101:$H$104)&gt;J686),
SUMIF('DADOS BASE'!$C$101:$D$104,D686,'DADOS BASE'!$H$101:$H$104),
J686)</f>
        <v>1863760.6240765022</v>
      </c>
      <c r="I686" s="225"/>
      <c r="J686" s="226">
        <f t="shared" si="472"/>
        <v>1863760.6240765022</v>
      </c>
      <c r="K686" s="226"/>
      <c r="L686" s="227">
        <v>1666.7433685011999</v>
      </c>
      <c r="M686" s="226">
        <f t="shared" si="473"/>
        <v>1.3003159328917474E-3</v>
      </c>
      <c r="N686" s="226">
        <f>L686*'DADOS BASE'!$I$29</f>
        <v>1641302.4156508546</v>
      </c>
      <c r="O686" s="228"/>
      <c r="P686" s="227">
        <v>0</v>
      </c>
      <c r="Q686" s="226">
        <f>P686*'DADOS BASE'!$I$33</f>
        <v>0</v>
      </c>
      <c r="R686" s="226"/>
      <c r="S686" s="227">
        <v>282.38301799723001</v>
      </c>
      <c r="T686" s="226">
        <f>S686*'DADOS BASE'!$I$37</f>
        <v>222458.20842564761</v>
      </c>
      <c r="U686" s="226"/>
      <c r="V686" s="226">
        <f t="shared" si="474"/>
        <v>222458.20842564761</v>
      </c>
      <c r="W686" s="228"/>
      <c r="X686" s="226"/>
      <c r="Y686" s="226"/>
      <c r="Z686" s="224"/>
      <c r="AA686" s="226"/>
      <c r="AB686" s="226"/>
      <c r="AC686" s="226"/>
      <c r="AD686" s="226"/>
      <c r="AE686" s="227">
        <v>1279</v>
      </c>
      <c r="AF686" s="227">
        <v>772.46917754609001</v>
      </c>
      <c r="AG686" s="226" t="s">
        <v>155</v>
      </c>
      <c r="AH686" s="229">
        <v>0.79</v>
      </c>
      <c r="AI686" s="225">
        <f t="shared" si="475"/>
        <v>610.25065026141112</v>
      </c>
      <c r="AJ686" s="226">
        <f t="shared" si="476"/>
        <v>9.1277348849852252E-2</v>
      </c>
      <c r="AK686" s="226"/>
      <c r="AL686" s="226">
        <f t="shared" si="477"/>
        <v>163.27599117491928</v>
      </c>
      <c r="AM686" s="228">
        <f t="shared" si="478"/>
        <v>126125.67061591255</v>
      </c>
      <c r="AN686" s="226"/>
      <c r="AO686" s="227">
        <v>1.5737770649559</v>
      </c>
      <c r="AP686" s="225"/>
      <c r="AQ686" s="226">
        <f t="shared" si="479"/>
        <v>1215.6942750073836</v>
      </c>
      <c r="AR686" s="226">
        <f t="shared" si="480"/>
        <v>1.2934861156745831E-3</v>
      </c>
      <c r="AS686" s="228">
        <f>AR686*'DADOS BASE'!W$38</f>
        <v>388013.19706948119</v>
      </c>
      <c r="AT686" s="225"/>
      <c r="AU686" s="227">
        <v>114.39320719889</v>
      </c>
      <c r="AV686" s="227">
        <v>50.5</v>
      </c>
      <c r="AW686" s="226">
        <f t="shared" si="481"/>
        <v>28.598301799722499</v>
      </c>
      <c r="AX686" s="226">
        <f>IF($AW$11&gt;0,(AW686/$AW$11)*'DADOS BASE'!W$40,0)</f>
        <v>5138.4391776293951</v>
      </c>
      <c r="AY686" s="226">
        <f t="shared" si="482"/>
        <v>45.00735146909031</v>
      </c>
      <c r="AZ686" s="226">
        <f t="shared" si="483"/>
        <v>2.3538986806532604E-3</v>
      </c>
      <c r="BA686" s="226">
        <f>AZ686*'DADOS BASE'!W$41</f>
        <v>17390.259242134038</v>
      </c>
      <c r="BB686" s="225"/>
      <c r="BC686" s="227">
        <v>0</v>
      </c>
      <c r="BD686" s="226">
        <f>IF($BC$11&gt;0,(BC686/$BC$11)*'DADOS BASE'!W$39,0)</f>
        <v>0</v>
      </c>
      <c r="BE686" s="187"/>
    </row>
    <row r="687" spans="2:57" x14ac:dyDescent="0.3">
      <c r="B687" s="184" t="s">
        <v>752</v>
      </c>
      <c r="C687" s="184" t="s">
        <v>775</v>
      </c>
      <c r="D687" s="184" t="s">
        <v>94</v>
      </c>
      <c r="E687" s="184">
        <v>2010</v>
      </c>
      <c r="F687" s="185"/>
      <c r="H687" s="186">
        <f ca="1">IF(AND(E687&gt;=2018,SUMIF('DADOS BASE'!$C$101:$D$104,D687,'DADOS BASE'!$H$101:$H$104)&gt;J687),
SUMIF('DADOS BASE'!$C$101:$D$104,D687,'DADOS BASE'!$H$101:$H$104),
J687)</f>
        <v>3221011.0723354812</v>
      </c>
      <c r="J687" s="186">
        <f t="shared" si="472"/>
        <v>3221011.0723354812</v>
      </c>
      <c r="K687" s="186"/>
      <c r="L687" s="188">
        <v>3238.8281256414998</v>
      </c>
      <c r="M687" s="186">
        <f t="shared" si="473"/>
        <v>2.5267836040389949E-3</v>
      </c>
      <c r="N687" s="186">
        <f>L687*'DADOS BASE'!$I$29</f>
        <v>3189391.0766080217</v>
      </c>
      <c r="O687" s="187"/>
      <c r="P687" s="188">
        <v>94.047787471495994</v>
      </c>
      <c r="Q687" s="186">
        <f>P687*'DADOS BASE'!$I$33</f>
        <v>23153.063585066458</v>
      </c>
      <c r="R687" s="186"/>
      <c r="S687" s="188">
        <v>10.747716923855</v>
      </c>
      <c r="T687" s="186">
        <f>S687*'DADOS BASE'!$I$37</f>
        <v>8466.9321423933816</v>
      </c>
      <c r="U687" s="186"/>
      <c r="V687" s="186">
        <f t="shared" si="474"/>
        <v>31619.995727459842</v>
      </c>
      <c r="W687" s="187"/>
      <c r="X687" s="186"/>
      <c r="Y687" s="186"/>
      <c r="Z687" s="185"/>
      <c r="AA687" s="186"/>
      <c r="AB687" s="186"/>
      <c r="AC687" s="186"/>
      <c r="AD687" s="186"/>
      <c r="AE687" s="188">
        <v>1946</v>
      </c>
      <c r="AF687" s="188">
        <v>1328.2199767443999</v>
      </c>
      <c r="AG687" s="186" t="s">
        <v>155</v>
      </c>
      <c r="AH687" s="189">
        <v>0.78800000000000003</v>
      </c>
      <c r="AI687" s="183">
        <f t="shared" si="475"/>
        <v>1046.6373416745871</v>
      </c>
      <c r="AJ687" s="186">
        <f t="shared" si="476"/>
        <v>8.8579760723692641E-2</v>
      </c>
      <c r="AK687" s="186"/>
      <c r="AL687" s="186">
        <f t="shared" si="477"/>
        <v>163.76068402869919</v>
      </c>
      <c r="AM687" s="187">
        <f t="shared" si="478"/>
        <v>217510.21193224585</v>
      </c>
      <c r="AN687" s="186"/>
      <c r="AO687" s="188">
        <v>1.5945744151318999</v>
      </c>
      <c r="AQ687" s="186">
        <f t="shared" si="479"/>
        <v>2117.9455925837074</v>
      </c>
      <c r="AR687" s="186">
        <f t="shared" si="480"/>
        <v>2.2534721714837099E-3</v>
      </c>
      <c r="AS687" s="187">
        <f>AR687*'DADOS BASE'!W$38</f>
        <v>675984.79115370521</v>
      </c>
      <c r="AU687" s="188">
        <v>10.747716923855</v>
      </c>
      <c r="AV687" s="188">
        <v>128</v>
      </c>
      <c r="AW687" s="186">
        <f t="shared" si="481"/>
        <v>2.68692923096375</v>
      </c>
      <c r="AX687" s="186">
        <f>IF($AW$11&gt;0,(AW687/$AW$11)*'DADOS BASE'!W$40,0)</f>
        <v>482.7777021373949</v>
      </c>
      <c r="AY687" s="186">
        <f t="shared" si="482"/>
        <v>4.2845086069648275</v>
      </c>
      <c r="AZ687" s="186">
        <f t="shared" si="483"/>
        <v>2.2408115181157294E-4</v>
      </c>
      <c r="BA687" s="186">
        <f>AZ687*'DADOS BASE'!W$41</f>
        <v>1655.4787822039088</v>
      </c>
      <c r="BC687" s="188">
        <v>0</v>
      </c>
      <c r="BD687" s="186">
        <f>IF($BC$11&gt;0,(BC687/$BC$11)*'DADOS BASE'!W$39,0)</f>
        <v>0</v>
      </c>
      <c r="BE687" s="187"/>
    </row>
    <row r="688" spans="2:57" x14ac:dyDescent="0.3">
      <c r="B688" s="223" t="s">
        <v>752</v>
      </c>
      <c r="C688" s="223" t="s">
        <v>776</v>
      </c>
      <c r="D688" s="223" t="s">
        <v>94</v>
      </c>
      <c r="E688" s="223">
        <v>2008</v>
      </c>
      <c r="F688" s="224"/>
      <c r="G688" s="225"/>
      <c r="H688" s="226">
        <f ca="1">IF(AND(E688&gt;=2018,SUMIF('DADOS BASE'!$C$101:$D$104,D688,'DADOS BASE'!$H$101:$H$104)&gt;J688),
SUMIF('DADOS BASE'!$C$101:$D$104,D688,'DADOS BASE'!$H$101:$H$104),
J688)</f>
        <v>10748762.609845459</v>
      </c>
      <c r="I688" s="225"/>
      <c r="J688" s="226">
        <f t="shared" si="472"/>
        <v>10748762.609845459</v>
      </c>
      <c r="K688" s="226"/>
      <c r="L688" s="227">
        <v>10837.416766863</v>
      </c>
      <c r="M688" s="226">
        <f t="shared" si="473"/>
        <v>8.4548503144861818E-3</v>
      </c>
      <c r="N688" s="226">
        <f>L688*'DADOS BASE'!$I$29</f>
        <v>10671995.854324294</v>
      </c>
      <c r="O688" s="228"/>
      <c r="P688" s="227">
        <v>0</v>
      </c>
      <c r="Q688" s="226">
        <f>P688*'DADOS BASE'!$I$33</f>
        <v>0</v>
      </c>
      <c r="R688" s="226"/>
      <c r="S688" s="227">
        <v>97.445845039104</v>
      </c>
      <c r="T688" s="226">
        <f>S688*'DADOS BASE'!$I$37</f>
        <v>76766.755521165935</v>
      </c>
      <c r="U688" s="226"/>
      <c r="V688" s="226">
        <f t="shared" si="474"/>
        <v>76766.755521165935</v>
      </c>
      <c r="W688" s="228"/>
      <c r="X688" s="226"/>
      <c r="Y688" s="226"/>
      <c r="Z688" s="224"/>
      <c r="AA688" s="226"/>
      <c r="AB688" s="226"/>
      <c r="AC688" s="226"/>
      <c r="AD688" s="226"/>
      <c r="AE688" s="227">
        <v>7514</v>
      </c>
      <c r="AF688" s="227">
        <v>4558.6371566951002</v>
      </c>
      <c r="AG688" s="226" t="s">
        <v>155</v>
      </c>
      <c r="AH688" s="229">
        <v>0.84699999999999998</v>
      </c>
      <c r="AI688" s="225">
        <f t="shared" si="475"/>
        <v>3861.1656717207497</v>
      </c>
      <c r="AJ688" s="226">
        <f t="shared" si="476"/>
        <v>0.16815861044540076</v>
      </c>
      <c r="AK688" s="226"/>
      <c r="AL688" s="226">
        <f t="shared" si="477"/>
        <v>149.46224484219215</v>
      </c>
      <c r="AM688" s="228">
        <f t="shared" si="478"/>
        <v>681344.14286067768</v>
      </c>
      <c r="AN688" s="226"/>
      <c r="AO688" s="227">
        <v>1.6558061079544999</v>
      </c>
      <c r="AP688" s="225"/>
      <c r="AQ688" s="226">
        <f t="shared" si="479"/>
        <v>7548.2192480040812</v>
      </c>
      <c r="AR688" s="226">
        <f t="shared" si="480"/>
        <v>8.0312270906282117E-3</v>
      </c>
      <c r="AS688" s="228">
        <f>AR688*'DADOS BASE'!W$38</f>
        <v>2409165.4808374173</v>
      </c>
      <c r="AT688" s="225"/>
      <c r="AU688" s="227">
        <v>48.722922519552</v>
      </c>
      <c r="AV688" s="227">
        <v>67.75</v>
      </c>
      <c r="AW688" s="226">
        <f t="shared" si="481"/>
        <v>12.180730629888</v>
      </c>
      <c r="AX688" s="226">
        <f>IF($AW$11&gt;0,(AW688/$AW$11)*'DADOS BASE'!W$40,0)</f>
        <v>2188.5895155276039</v>
      </c>
      <c r="AY688" s="226">
        <f t="shared" si="482"/>
        <v>20.168928176317014</v>
      </c>
      <c r="AZ688" s="226">
        <f t="shared" si="483"/>
        <v>1.0548413064702953E-3</v>
      </c>
      <c r="BA688" s="226">
        <f>AZ688*'DADOS BASE'!W$41</f>
        <v>7793.0133227904817</v>
      </c>
      <c r="BB688" s="225"/>
      <c r="BC688" s="227">
        <v>0</v>
      </c>
      <c r="BD688" s="226">
        <f>IF($BC$11&gt;0,(BC688/$BC$11)*'DADOS BASE'!W$39,0)</f>
        <v>0</v>
      </c>
      <c r="BE688" s="187"/>
    </row>
    <row r="689" spans="2:57" x14ac:dyDescent="0.3">
      <c r="B689" s="184" t="s">
        <v>752</v>
      </c>
      <c r="C689" s="184" t="s">
        <v>777</v>
      </c>
      <c r="D689" s="184" t="s">
        <v>94</v>
      </c>
      <c r="E689" s="184">
        <v>2006</v>
      </c>
      <c r="F689" s="185"/>
      <c r="H689" s="186">
        <f ca="1">IF(AND(E689&gt;=2018,SUMIF('DADOS BASE'!$C$101:$D$104,D689,'DADOS BASE'!$H$101:$H$104)&gt;J689),
SUMIF('DADOS BASE'!$C$101:$D$104,D689,'DADOS BASE'!$H$101:$H$104),
J689)</f>
        <v>1039661.1245540396</v>
      </c>
      <c r="J689" s="186">
        <f t="shared" si="472"/>
        <v>1039661.1245540396</v>
      </c>
      <c r="K689" s="186"/>
      <c r="L689" s="188">
        <v>1051.1726688787001</v>
      </c>
      <c r="M689" s="186">
        <f t="shared" si="473"/>
        <v>8.2007620092854787E-4</v>
      </c>
      <c r="N689" s="186">
        <f>L689*'DADOS BASE'!$I$29</f>
        <v>1035127.7067016116</v>
      </c>
      <c r="O689" s="187"/>
      <c r="P689" s="188">
        <v>0</v>
      </c>
      <c r="Q689" s="186">
        <f>P689*'DADOS BASE'!$I$33</f>
        <v>0</v>
      </c>
      <c r="R689" s="186"/>
      <c r="S689" s="188">
        <v>5.7546099290779997</v>
      </c>
      <c r="T689" s="186">
        <f>S689*'DADOS BASE'!$I$37</f>
        <v>4533.4178524279823</v>
      </c>
      <c r="U689" s="186"/>
      <c r="V689" s="186">
        <f t="shared" si="474"/>
        <v>4533.4178524279823</v>
      </c>
      <c r="W689" s="187"/>
      <c r="X689" s="186"/>
      <c r="Y689" s="186"/>
      <c r="Z689" s="185"/>
      <c r="AA689" s="186"/>
      <c r="AB689" s="186"/>
      <c r="AC689" s="186"/>
      <c r="AD689" s="186"/>
      <c r="AE689" s="188">
        <v>2331</v>
      </c>
      <c r="AF689" s="188">
        <v>620.71972911964997</v>
      </c>
      <c r="AG689" s="186" t="s">
        <v>155</v>
      </c>
      <c r="AH689" s="189">
        <v>0.84699999999999998</v>
      </c>
      <c r="AI689" s="183">
        <f t="shared" si="475"/>
        <v>525.74961056434347</v>
      </c>
      <c r="AJ689" s="186">
        <f t="shared" si="476"/>
        <v>0.16815861044540076</v>
      </c>
      <c r="AK689" s="186"/>
      <c r="AL689" s="186">
        <f t="shared" si="477"/>
        <v>149.46224484219215</v>
      </c>
      <c r="AM689" s="187">
        <f t="shared" si="478"/>
        <v>92774.164132060308</v>
      </c>
      <c r="AN689" s="186"/>
      <c r="AO689" s="188">
        <v>1.6453151618399</v>
      </c>
      <c r="AQ689" s="186">
        <f t="shared" si="479"/>
        <v>1021.2795815737157</v>
      </c>
      <c r="AR689" s="186">
        <f t="shared" si="480"/>
        <v>1.0866308957320095E-3</v>
      </c>
      <c r="AS689" s="187">
        <f>AR689*'DADOS BASE'!W$38</f>
        <v>325961.85052018333</v>
      </c>
      <c r="AU689" s="188">
        <v>5.7546099290779997</v>
      </c>
      <c r="AV689" s="188">
        <v>46.5</v>
      </c>
      <c r="AW689" s="186">
        <f t="shared" si="481"/>
        <v>1.4386524822694999</v>
      </c>
      <c r="AX689" s="186">
        <f>IF($AW$11&gt;0,(AW689/$AW$11)*'DADOS BASE'!W$40,0)</f>
        <v>258.49186184751392</v>
      </c>
      <c r="AY689" s="186">
        <f t="shared" si="482"/>
        <v>2.3670367416966163</v>
      </c>
      <c r="AZ689" s="186">
        <f t="shared" si="483"/>
        <v>1.2379676833825643E-4</v>
      </c>
      <c r="BA689" s="186">
        <f>AZ689*'DADOS BASE'!W$41</f>
        <v>914.59242168538174</v>
      </c>
      <c r="BC689" s="188">
        <v>0</v>
      </c>
      <c r="BD689" s="186">
        <f>IF($BC$11&gt;0,(BC689/$BC$11)*'DADOS BASE'!W$39,0)</f>
        <v>0</v>
      </c>
      <c r="BE689" s="187"/>
    </row>
    <row r="690" spans="2:57" x14ac:dyDescent="0.3">
      <c r="B690" s="223" t="s">
        <v>752</v>
      </c>
      <c r="C690" s="223" t="s">
        <v>778</v>
      </c>
      <c r="D690" s="223" t="s">
        <v>94</v>
      </c>
      <c r="E690" s="223">
        <v>2013</v>
      </c>
      <c r="F690" s="224"/>
      <c r="G690" s="225"/>
      <c r="H690" s="226">
        <f ca="1">IF(AND(E690&gt;=2018,SUMIF('DADOS BASE'!$C$101:$D$104,D690,'DADOS BASE'!$H$101:$H$104)&gt;J690),
SUMIF('DADOS BASE'!$C$101:$D$104,D690,'DADOS BASE'!$H$101:$H$104),
J690)</f>
        <v>702660.75583080773</v>
      </c>
      <c r="I690" s="225"/>
      <c r="J690" s="226">
        <f t="shared" si="472"/>
        <v>702660.75583080773</v>
      </c>
      <c r="K690" s="226"/>
      <c r="L690" s="227">
        <v>702.88140324038</v>
      </c>
      <c r="M690" s="226">
        <f t="shared" si="473"/>
        <v>5.4835549661652497E-4</v>
      </c>
      <c r="N690" s="226">
        <f>L690*'DADOS BASE'!$I$29</f>
        <v>692152.71340296173</v>
      </c>
      <c r="O690" s="228"/>
      <c r="P690" s="227">
        <v>0</v>
      </c>
      <c r="Q690" s="226">
        <f>P690*'DADOS BASE'!$I$33</f>
        <v>0</v>
      </c>
      <c r="R690" s="226"/>
      <c r="S690" s="227">
        <v>13.33865248227</v>
      </c>
      <c r="T690" s="226">
        <f>S690*'DADOS BASE'!$I$37</f>
        <v>10508.042427846027</v>
      </c>
      <c r="U690" s="226"/>
      <c r="V690" s="226">
        <f t="shared" si="474"/>
        <v>10508.042427846027</v>
      </c>
      <c r="W690" s="228"/>
      <c r="X690" s="226"/>
      <c r="Y690" s="226"/>
      <c r="Z690" s="224"/>
      <c r="AA690" s="226"/>
      <c r="AB690" s="226"/>
      <c r="AC690" s="226"/>
      <c r="AD690" s="226"/>
      <c r="AE690" s="227">
        <v>804</v>
      </c>
      <c r="AF690" s="227">
        <v>473.21654859586999</v>
      </c>
      <c r="AG690" s="226" t="s">
        <v>155</v>
      </c>
      <c r="AH690" s="229">
        <v>0.753</v>
      </c>
      <c r="AI690" s="225">
        <f t="shared" si="475"/>
        <v>356.33206109269008</v>
      </c>
      <c r="AJ690" s="226">
        <f t="shared" si="476"/>
        <v>4.1371968515899596E-2</v>
      </c>
      <c r="AK690" s="226"/>
      <c r="AL690" s="226">
        <f t="shared" si="477"/>
        <v>172.24280896984743</v>
      </c>
      <c r="AM690" s="228">
        <f t="shared" si="478"/>
        <v>81508.14758116896</v>
      </c>
      <c r="AN690" s="226"/>
      <c r="AO690" s="227">
        <v>1.6910039113429001</v>
      </c>
      <c r="AP690" s="225"/>
      <c r="AQ690" s="226">
        <f t="shared" si="479"/>
        <v>800.21103458780374</v>
      </c>
      <c r="AR690" s="226">
        <f t="shared" si="480"/>
        <v>8.5141625170738857E-4</v>
      </c>
      <c r="AS690" s="228">
        <f>AR690*'DADOS BASE'!W$38</f>
        <v>255403.39231983726</v>
      </c>
      <c r="AT690" s="225"/>
      <c r="AU690" s="227">
        <v>13.33865248227</v>
      </c>
      <c r="AV690" s="227">
        <v>21</v>
      </c>
      <c r="AW690" s="226">
        <f t="shared" si="481"/>
        <v>3.3346631205674999</v>
      </c>
      <c r="AX690" s="226">
        <f>IF($AW$11&gt;0,(AW690/$AW$11)*'DADOS BASE'!W$40,0)</f>
        <v>599.16017891265847</v>
      </c>
      <c r="AY690" s="226">
        <f t="shared" si="482"/>
        <v>5.6389283798905634</v>
      </c>
      <c r="AZ690" s="226">
        <f t="shared" si="483"/>
        <v>2.9491773322494751E-4</v>
      </c>
      <c r="BA690" s="226">
        <f>AZ690*'DADOS BASE'!W$41</f>
        <v>2178.8090872547814</v>
      </c>
      <c r="BB690" s="225"/>
      <c r="BC690" s="227">
        <v>0</v>
      </c>
      <c r="BD690" s="226">
        <f>IF($BC$11&gt;0,(BC690/$BC$11)*'DADOS BASE'!W$39,0)</f>
        <v>0</v>
      </c>
      <c r="BE690" s="187"/>
    </row>
    <row r="691" spans="2:57" x14ac:dyDescent="0.3">
      <c r="B691" s="184" t="s">
        <v>752</v>
      </c>
      <c r="C691" s="184" t="s">
        <v>779</v>
      </c>
      <c r="D691" s="184" t="s">
        <v>94</v>
      </c>
      <c r="E691" s="184">
        <v>2010</v>
      </c>
      <c r="F691" s="185"/>
      <c r="H691" s="186">
        <f ca="1">IF(AND(E691&gt;=2018,SUMIF('DADOS BASE'!$C$101:$D$104,D691,'DADOS BASE'!$H$101:$H$104)&gt;J691),
SUMIF('DADOS BASE'!$C$101:$D$104,D691,'DADOS BASE'!$H$101:$H$104),
J691)</f>
        <v>2056776.6435640431</v>
      </c>
      <c r="J691" s="186">
        <f t="shared" si="472"/>
        <v>2056776.6435640431</v>
      </c>
      <c r="K691" s="186"/>
      <c r="L691" s="188">
        <v>2083.2976407000001</v>
      </c>
      <c r="M691" s="186">
        <f t="shared" si="473"/>
        <v>1.6252922713554789E-3</v>
      </c>
      <c r="N691" s="186">
        <f>L691*'DADOS BASE'!$I$29</f>
        <v>2051498.4579032238</v>
      </c>
      <c r="O691" s="187"/>
      <c r="P691" s="188">
        <v>0</v>
      </c>
      <c r="Q691" s="186">
        <f>P691*'DADOS BASE'!$I$33</f>
        <v>0</v>
      </c>
      <c r="R691" s="186"/>
      <c r="S691" s="188">
        <v>6.7</v>
      </c>
      <c r="T691" s="186">
        <f>S691*'DADOS BASE'!$I$37</f>
        <v>5278.1856608192329</v>
      </c>
      <c r="U691" s="186"/>
      <c r="V691" s="186">
        <f t="shared" si="474"/>
        <v>5278.1856608192329</v>
      </c>
      <c r="W691" s="187"/>
      <c r="X691" s="186"/>
      <c r="Y691" s="186"/>
      <c r="Z691" s="185"/>
      <c r="AA691" s="186"/>
      <c r="AB691" s="186"/>
      <c r="AC691" s="186"/>
      <c r="AD691" s="186"/>
      <c r="AE691" s="188">
        <v>2085</v>
      </c>
      <c r="AF691" s="188">
        <v>1230.6129880840999</v>
      </c>
      <c r="AG691" s="186" t="s">
        <v>155</v>
      </c>
      <c r="AH691" s="189">
        <v>0.76500000000000001</v>
      </c>
      <c r="AI691" s="183">
        <f t="shared" si="475"/>
        <v>941.41893588433641</v>
      </c>
      <c r="AJ691" s="186">
        <f t="shared" si="476"/>
        <v>5.7557497272857215E-2</v>
      </c>
      <c r="AK691" s="186"/>
      <c r="AL691" s="186">
        <f t="shared" si="477"/>
        <v>169.33465184716803</v>
      </c>
      <c r="AM691" s="187">
        <f t="shared" si="478"/>
        <v>208385.4218958242</v>
      </c>
      <c r="AN691" s="186"/>
      <c r="AO691" s="188">
        <v>1.630615640599</v>
      </c>
      <c r="AQ691" s="186">
        <f t="shared" si="479"/>
        <v>2006.6567858942042</v>
      </c>
      <c r="AR691" s="186">
        <f t="shared" si="480"/>
        <v>2.1350620339662071E-3</v>
      </c>
      <c r="AS691" s="187">
        <f>AR691*'DADOS BASE'!W$38</f>
        <v>640464.73765885807</v>
      </c>
      <c r="AU691" s="188">
        <v>6.7</v>
      </c>
      <c r="AV691" s="188">
        <v>16.75</v>
      </c>
      <c r="AW691" s="186">
        <f t="shared" si="481"/>
        <v>1.675</v>
      </c>
      <c r="AX691" s="186">
        <f>IF($AW$11&gt;0,(AW691/$AW$11)*'DADOS BASE'!W$40,0)</f>
        <v>300.9579269008467</v>
      </c>
      <c r="AY691" s="186">
        <f t="shared" si="482"/>
        <v>2.7312811980033249</v>
      </c>
      <c r="AZ691" s="186">
        <f t="shared" si="483"/>
        <v>1.4284686831413389E-4</v>
      </c>
      <c r="BA691" s="186">
        <f>AZ691*'DADOS BASE'!W$41</f>
        <v>1055.3317746116261</v>
      </c>
      <c r="BC691" s="188">
        <v>0</v>
      </c>
      <c r="BD691" s="186">
        <f>IF($BC$11&gt;0,(BC691/$BC$11)*'DADOS BASE'!W$39,0)</f>
        <v>0</v>
      </c>
      <c r="BE691" s="187"/>
    </row>
    <row r="692" spans="2:57" x14ac:dyDescent="0.3">
      <c r="B692" s="223" t="s">
        <v>752</v>
      </c>
      <c r="C692" s="223" t="s">
        <v>780</v>
      </c>
      <c r="D692" s="223" t="s">
        <v>94</v>
      </c>
      <c r="E692" s="223">
        <v>2010</v>
      </c>
      <c r="F692" s="224"/>
      <c r="G692" s="225"/>
      <c r="H692" s="226">
        <f ca="1">IF(AND(E692&gt;=2018,SUMIF('DADOS BASE'!$C$101:$D$104,D692,'DADOS BASE'!$H$101:$H$104)&gt;J692),
SUMIF('DADOS BASE'!$C$101:$D$104,D692,'DADOS BASE'!$H$101:$H$104),
J692)</f>
        <v>2960177.6844612597</v>
      </c>
      <c r="I692" s="225"/>
      <c r="J692" s="226">
        <f t="shared" si="472"/>
        <v>2960177.6844612597</v>
      </c>
      <c r="K692" s="226"/>
      <c r="L692" s="227">
        <v>3004.7418190246999</v>
      </c>
      <c r="M692" s="226">
        <f t="shared" si="473"/>
        <v>2.3441603160643601E-3</v>
      </c>
      <c r="N692" s="226">
        <f>L692*'DADOS BASE'!$I$29</f>
        <v>2958877.8327686698</v>
      </c>
      <c r="O692" s="228"/>
      <c r="P692" s="227">
        <v>0</v>
      </c>
      <c r="Q692" s="226">
        <f>P692*'DADOS BASE'!$I$33</f>
        <v>0</v>
      </c>
      <c r="R692" s="226"/>
      <c r="S692" s="227">
        <v>1.65</v>
      </c>
      <c r="T692" s="226">
        <f>S692*'DADOS BASE'!$I$37</f>
        <v>1299.8516925898111</v>
      </c>
      <c r="U692" s="226"/>
      <c r="V692" s="226">
        <f t="shared" si="474"/>
        <v>1299.8516925898111</v>
      </c>
      <c r="W692" s="228"/>
      <c r="X692" s="226"/>
      <c r="Y692" s="226"/>
      <c r="Z692" s="224"/>
      <c r="AA692" s="226"/>
      <c r="AB692" s="226"/>
      <c r="AC692" s="226"/>
      <c r="AD692" s="226"/>
      <c r="AE692" s="227">
        <v>1595</v>
      </c>
      <c r="AF692" s="227">
        <v>1052.3114848774001</v>
      </c>
      <c r="AG692" s="226" t="s">
        <v>155</v>
      </c>
      <c r="AH692" s="229">
        <v>0.79500000000000004</v>
      </c>
      <c r="AI692" s="225">
        <f t="shared" si="475"/>
        <v>836.58763047753314</v>
      </c>
      <c r="AJ692" s="226">
        <f t="shared" si="476"/>
        <v>9.8021319165251253E-2</v>
      </c>
      <c r="AK692" s="226"/>
      <c r="AL692" s="226">
        <f t="shared" si="477"/>
        <v>162.06425904046952</v>
      </c>
      <c r="AM692" s="228">
        <f t="shared" si="478"/>
        <v>170542.08107643208</v>
      </c>
      <c r="AN692" s="226"/>
      <c r="AO692" s="227">
        <v>1.669701986755</v>
      </c>
      <c r="AP692" s="225"/>
      <c r="AQ692" s="226">
        <f t="shared" si="479"/>
        <v>1757.046576984899</v>
      </c>
      <c r="AR692" s="226">
        <f t="shared" si="480"/>
        <v>1.8694793573077542E-3</v>
      </c>
      <c r="AS692" s="228">
        <f>AR692*'DADOS BASE'!W$38</f>
        <v>560796.63592374686</v>
      </c>
      <c r="AT692" s="225"/>
      <c r="AU692" s="227">
        <v>1.65</v>
      </c>
      <c r="AV692" s="227">
        <v>8.25</v>
      </c>
      <c r="AW692" s="226">
        <f t="shared" si="481"/>
        <v>0.41249999999999998</v>
      </c>
      <c r="AX692" s="226">
        <f>IF($AW$11&gt;0,(AW692/$AW$11)*'DADOS BASE'!W$40,0)</f>
        <v>74.116504386029405</v>
      </c>
      <c r="AY692" s="226">
        <f t="shared" si="482"/>
        <v>0.68875206953643753</v>
      </c>
      <c r="AZ692" s="226">
        <f t="shared" si="483"/>
        <v>3.602195052273739E-5</v>
      </c>
      <c r="BA692" s="226">
        <f>AZ692*'DADOS BASE'!W$41</f>
        <v>266.12490297325803</v>
      </c>
      <c r="BB692" s="225"/>
      <c r="BC692" s="227">
        <v>0</v>
      </c>
      <c r="BD692" s="226">
        <f>IF($BC$11&gt;0,(BC692/$BC$11)*'DADOS BASE'!W$39,0)</f>
        <v>0</v>
      </c>
      <c r="BE692" s="187"/>
    </row>
    <row r="693" spans="2:57" x14ac:dyDescent="0.3">
      <c r="B693" s="184" t="s">
        <v>752</v>
      </c>
      <c r="C693" s="184" t="s">
        <v>781</v>
      </c>
      <c r="D693" s="184" t="s">
        <v>94</v>
      </c>
      <c r="E693" s="184">
        <v>2010</v>
      </c>
      <c r="F693" s="185"/>
      <c r="H693" s="186">
        <f ca="1">IF(AND(E693&gt;=2018,SUMIF('DADOS BASE'!$C$101:$D$104,D693,'DADOS BASE'!$H$101:$H$104)&gt;J693),
SUMIF('DADOS BASE'!$C$101:$D$104,D693,'DADOS BASE'!$H$101:$H$104),
J693)</f>
        <v>2432607.5402957108</v>
      </c>
      <c r="J693" s="186">
        <f t="shared" si="472"/>
        <v>2432607.5402957108</v>
      </c>
      <c r="K693" s="186"/>
      <c r="L693" s="188">
        <v>2469.0947812518002</v>
      </c>
      <c r="M693" s="186">
        <f t="shared" si="473"/>
        <v>1.9262733211104228E-3</v>
      </c>
      <c r="N693" s="186">
        <f>L693*'DADOS BASE'!$I$29</f>
        <v>2431406.8413445619</v>
      </c>
      <c r="O693" s="187"/>
      <c r="P693" s="188">
        <v>0</v>
      </c>
      <c r="Q693" s="186">
        <f>P693*'DADOS BASE'!$I$33</f>
        <v>0</v>
      </c>
      <c r="R693" s="186"/>
      <c r="S693" s="188">
        <v>1.5241379310345</v>
      </c>
      <c r="T693" s="186">
        <f>S693*'DADOS BASE'!$I$37</f>
        <v>1200.6989511488046</v>
      </c>
      <c r="U693" s="186"/>
      <c r="V693" s="186">
        <f t="shared" si="474"/>
        <v>1200.6989511488046</v>
      </c>
      <c r="W693" s="187"/>
      <c r="X693" s="186"/>
      <c r="Y693" s="186"/>
      <c r="Z693" s="185"/>
      <c r="AA693" s="186"/>
      <c r="AB693" s="186"/>
      <c r="AC693" s="186"/>
      <c r="AD693" s="186"/>
      <c r="AE693" s="188">
        <v>1398</v>
      </c>
      <c r="AF693" s="188">
        <v>991.20017574180997</v>
      </c>
      <c r="AG693" s="186" t="s">
        <v>155</v>
      </c>
      <c r="AH693" s="189">
        <v>0.80300000000000005</v>
      </c>
      <c r="AI693" s="183">
        <f t="shared" si="475"/>
        <v>795.9337411206734</v>
      </c>
      <c r="AJ693" s="186">
        <f t="shared" si="476"/>
        <v>0.10881167166988967</v>
      </c>
      <c r="AK693" s="186"/>
      <c r="AL693" s="186">
        <f t="shared" si="477"/>
        <v>160.12548762534993</v>
      </c>
      <c r="AM693" s="187">
        <f t="shared" si="478"/>
        <v>158716.41147498987</v>
      </c>
      <c r="AN693" s="186"/>
      <c r="AO693" s="188">
        <v>1.6738929889298999</v>
      </c>
      <c r="AQ693" s="186">
        <f t="shared" si="479"/>
        <v>1659.1630248003003</v>
      </c>
      <c r="AR693" s="186">
        <f t="shared" si="480"/>
        <v>1.7653322717233312E-3</v>
      </c>
      <c r="AS693" s="187">
        <f>AR693*'DADOS BASE'!W$38</f>
        <v>529555.13811918336</v>
      </c>
      <c r="AU693" s="188">
        <v>1.5241379310345</v>
      </c>
      <c r="AV693" s="188">
        <v>9.75</v>
      </c>
      <c r="AW693" s="186">
        <f t="shared" si="481"/>
        <v>0.381034482758625</v>
      </c>
      <c r="AX693" s="186">
        <f>IF($AW$11&gt;0,(AW693/$AW$11)*'DADOS BASE'!W$40,0)</f>
        <v>68.462894333595329</v>
      </c>
      <c r="AY693" s="186">
        <f t="shared" si="482"/>
        <v>0.63781094923019321</v>
      </c>
      <c r="AZ693" s="186">
        <f t="shared" si="483"/>
        <v>3.3357713859928688E-5</v>
      </c>
      <c r="BA693" s="186">
        <f>AZ693*'DADOS BASE'!W$41</f>
        <v>246.44191209967323</v>
      </c>
      <c r="BC693" s="188">
        <v>0</v>
      </c>
      <c r="BD693" s="186">
        <f>IF($BC$11&gt;0,(BC693/$BC$11)*'DADOS BASE'!W$39,0)</f>
        <v>0</v>
      </c>
      <c r="BE693" s="187"/>
    </row>
    <row r="694" spans="2:57" x14ac:dyDescent="0.3">
      <c r="B694" s="223" t="s">
        <v>752</v>
      </c>
      <c r="C694" s="223" t="s">
        <v>782</v>
      </c>
      <c r="D694" s="223" t="s">
        <v>94</v>
      </c>
      <c r="E694" s="223">
        <v>2010</v>
      </c>
      <c r="F694" s="224"/>
      <c r="G694" s="225"/>
      <c r="H694" s="226">
        <f ca="1">IF(AND(E694&gt;=2018,SUMIF('DADOS BASE'!$C$101:$D$104,D694,'DADOS BASE'!$H$101:$H$104)&gt;J694),
SUMIF('DADOS BASE'!$C$101:$D$104,D694,'DADOS BASE'!$H$101:$H$104),
J694)</f>
        <v>2516466.0013071094</v>
      </c>
      <c r="I694" s="225"/>
      <c r="J694" s="226">
        <f t="shared" si="472"/>
        <v>2516466.0013071094</v>
      </c>
      <c r="K694" s="226"/>
      <c r="L694" s="227">
        <v>2555.4723978604002</v>
      </c>
      <c r="M694" s="226">
        <f t="shared" si="473"/>
        <v>1.9936611345219009E-3</v>
      </c>
      <c r="N694" s="226">
        <f>L694*'DADOS BASE'!$I$29</f>
        <v>2516466.0013071094</v>
      </c>
      <c r="O694" s="228"/>
      <c r="P694" s="227">
        <v>0</v>
      </c>
      <c r="Q694" s="226">
        <f>P694*'DADOS BASE'!$I$33</f>
        <v>0</v>
      </c>
      <c r="R694" s="226"/>
      <c r="S694" s="227">
        <v>0</v>
      </c>
      <c r="T694" s="226">
        <f>S694*'DADOS BASE'!$I$37</f>
        <v>0</v>
      </c>
      <c r="U694" s="226"/>
      <c r="V694" s="226">
        <f t="shared" si="474"/>
        <v>0</v>
      </c>
      <c r="W694" s="228"/>
      <c r="X694" s="226"/>
      <c r="Y694" s="226"/>
      <c r="Z694" s="224"/>
      <c r="AA694" s="226"/>
      <c r="AB694" s="226"/>
      <c r="AC694" s="226"/>
      <c r="AD694" s="226"/>
      <c r="AE694" s="227">
        <v>2171</v>
      </c>
      <c r="AF694" s="227">
        <v>1092.8311144070001</v>
      </c>
      <c r="AG694" s="226" t="s">
        <v>155</v>
      </c>
      <c r="AH694" s="229">
        <v>0.80300000000000005</v>
      </c>
      <c r="AI694" s="225">
        <f t="shared" si="475"/>
        <v>877.54338486882114</v>
      </c>
      <c r="AJ694" s="226">
        <f t="shared" si="476"/>
        <v>0.10881167166988967</v>
      </c>
      <c r="AK694" s="226"/>
      <c r="AL694" s="226">
        <f t="shared" si="477"/>
        <v>160.12548762534993</v>
      </c>
      <c r="AM694" s="228">
        <f t="shared" si="478"/>
        <v>174990.11508657548</v>
      </c>
      <c r="AN694" s="226"/>
      <c r="AO694" s="227">
        <v>1.7984516817939</v>
      </c>
      <c r="AP694" s="225"/>
      <c r="AQ694" s="226">
        <f t="shared" si="479"/>
        <v>1965.4039556219714</v>
      </c>
      <c r="AR694" s="226">
        <f t="shared" si="480"/>
        <v>2.0911694498795632E-3</v>
      </c>
      <c r="AS694" s="228">
        <f>AR694*'DADOS BASE'!W$38</f>
        <v>627298.06994382222</v>
      </c>
      <c r="AT694" s="225"/>
      <c r="AU694" s="227">
        <v>0</v>
      </c>
      <c r="AV694" s="227">
        <v>0</v>
      </c>
      <c r="AW694" s="226">
        <f t="shared" si="481"/>
        <v>0</v>
      </c>
      <c r="AX694" s="226">
        <f>IF($AW$11&gt;0,(AW694/$AW$11)*'DADOS BASE'!W$40,0)</f>
        <v>0</v>
      </c>
      <c r="AY694" s="226">
        <f t="shared" si="482"/>
        <v>0</v>
      </c>
      <c r="AZ694" s="226">
        <f t="shared" si="483"/>
        <v>0</v>
      </c>
      <c r="BA694" s="226">
        <f>AZ694*'DADOS BASE'!W$41</f>
        <v>0</v>
      </c>
      <c r="BB694" s="225"/>
      <c r="BC694" s="227">
        <v>0</v>
      </c>
      <c r="BD694" s="226">
        <f>IF($BC$11&gt;0,(BC694/$BC$11)*'DADOS BASE'!W$39,0)</f>
        <v>0</v>
      </c>
      <c r="BE694" s="187"/>
    </row>
    <row r="695" spans="2:57" x14ac:dyDescent="0.3">
      <c r="B695" s="184" t="s">
        <v>752</v>
      </c>
      <c r="C695" s="184" t="s">
        <v>783</v>
      </c>
      <c r="D695" s="184" t="s">
        <v>94</v>
      </c>
      <c r="E695" s="184">
        <v>2006</v>
      </c>
      <c r="F695" s="185"/>
      <c r="H695" s="186">
        <f ca="1">IF(AND(E695&gt;=2018,SUMIF('DADOS BASE'!$C$101:$D$104,D695,'DADOS BASE'!$H$101:$H$104)&gt;J695),
SUMIF('DADOS BASE'!$C$101:$D$104,D695,'DADOS BASE'!$H$101:$H$104),
J695)</f>
        <v>2953363.1302575283</v>
      </c>
      <c r="J695" s="186">
        <f t="shared" si="472"/>
        <v>2953363.1302575283</v>
      </c>
      <c r="K695" s="186"/>
      <c r="L695" s="188">
        <v>2999.1416360529001</v>
      </c>
      <c r="M695" s="186">
        <f t="shared" si="473"/>
        <v>2.3397913128434932E-3</v>
      </c>
      <c r="N695" s="186">
        <f>L695*'DADOS BASE'!$I$29</f>
        <v>2953363.1302575283</v>
      </c>
      <c r="O695" s="187"/>
      <c r="P695" s="188">
        <v>0</v>
      </c>
      <c r="Q695" s="186">
        <f>P695*'DADOS BASE'!$I$33</f>
        <v>0</v>
      </c>
      <c r="R695" s="186"/>
      <c r="S695" s="188">
        <v>0</v>
      </c>
      <c r="T695" s="186">
        <f>S695*'DADOS BASE'!$I$37</f>
        <v>0</v>
      </c>
      <c r="U695" s="186"/>
      <c r="V695" s="186">
        <f t="shared" si="474"/>
        <v>0</v>
      </c>
      <c r="W695" s="187"/>
      <c r="X695" s="186"/>
      <c r="Y695" s="186"/>
      <c r="Z695" s="185"/>
      <c r="AA695" s="186"/>
      <c r="AB695" s="186"/>
      <c r="AC695" s="186"/>
      <c r="AD695" s="186"/>
      <c r="AE695" s="188">
        <v>1941</v>
      </c>
      <c r="AF695" s="188">
        <v>1341.2999502434</v>
      </c>
      <c r="AG695" s="186" t="s">
        <v>155</v>
      </c>
      <c r="AH695" s="189">
        <v>0.80900000000000005</v>
      </c>
      <c r="AI695" s="183">
        <f t="shared" si="475"/>
        <v>1085.1116597469106</v>
      </c>
      <c r="AJ695" s="186">
        <f t="shared" si="476"/>
        <v>0.11690443604836848</v>
      </c>
      <c r="AK695" s="186"/>
      <c r="AL695" s="186">
        <f t="shared" si="477"/>
        <v>158.67140906401022</v>
      </c>
      <c r="AM695" s="187">
        <f t="shared" si="478"/>
        <v>212825.95308260707</v>
      </c>
      <c r="AN695" s="186"/>
      <c r="AO695" s="188">
        <v>1.5349775784752999</v>
      </c>
      <c r="AQ695" s="186">
        <f t="shared" si="479"/>
        <v>2058.8653496336542</v>
      </c>
      <c r="AR695" s="186">
        <f t="shared" si="480"/>
        <v>2.1906114049755261E-3</v>
      </c>
      <c r="AS695" s="187">
        <f>AR695*'DADOS BASE'!W$38</f>
        <v>657128.14732312318</v>
      </c>
      <c r="AU695" s="188">
        <v>0</v>
      </c>
      <c r="AV695" s="188">
        <v>0</v>
      </c>
      <c r="AW695" s="186">
        <f t="shared" si="481"/>
        <v>0</v>
      </c>
      <c r="AX695" s="186">
        <f>IF($AW$11&gt;0,(AW695/$AW$11)*'DADOS BASE'!W$40,0)</f>
        <v>0</v>
      </c>
      <c r="AY695" s="186">
        <f t="shared" si="482"/>
        <v>0</v>
      </c>
      <c r="AZ695" s="186">
        <f t="shared" si="483"/>
        <v>0</v>
      </c>
      <c r="BA695" s="186">
        <f>AZ695*'DADOS BASE'!W$41</f>
        <v>0</v>
      </c>
      <c r="BC695" s="188">
        <v>0</v>
      </c>
      <c r="BD695" s="186">
        <f>IF($BC$11&gt;0,(BC695/$BC$11)*'DADOS BASE'!W$39,0)</f>
        <v>0</v>
      </c>
      <c r="BE695" s="187"/>
    </row>
    <row r="696" spans="2:57" x14ac:dyDescent="0.3">
      <c r="B696" s="223" t="s">
        <v>752</v>
      </c>
      <c r="C696" s="223" t="s">
        <v>784</v>
      </c>
      <c r="D696" s="223" t="s">
        <v>94</v>
      </c>
      <c r="E696" s="223">
        <v>2011</v>
      </c>
      <c r="F696" s="224"/>
      <c r="G696" s="225"/>
      <c r="H696" s="226">
        <f ca="1">IF(AND(E696&gt;=2018,SUMIF('DADOS BASE'!$C$101:$D$104,D696,'DADOS BASE'!$H$101:$H$104)&gt;J696),
SUMIF('DADOS BASE'!$C$101:$D$104,D696,'DADOS BASE'!$H$101:$H$104),
J696)</f>
        <v>2274200.1845376878</v>
      </c>
      <c r="I696" s="225"/>
      <c r="J696" s="226">
        <f t="shared" si="472"/>
        <v>2274200.1845376878</v>
      </c>
      <c r="K696" s="226"/>
      <c r="L696" s="227">
        <v>2309.4513479523998</v>
      </c>
      <c r="M696" s="226">
        <f t="shared" si="473"/>
        <v>1.8017269129327672E-3</v>
      </c>
      <c r="N696" s="226">
        <f>L696*'DADOS BASE'!$I$29</f>
        <v>2274200.1845376878</v>
      </c>
      <c r="O696" s="228"/>
      <c r="P696" s="227">
        <v>0</v>
      </c>
      <c r="Q696" s="226">
        <f>P696*'DADOS BASE'!$I$33</f>
        <v>0</v>
      </c>
      <c r="R696" s="226"/>
      <c r="S696" s="227">
        <v>0</v>
      </c>
      <c r="T696" s="226">
        <f>S696*'DADOS BASE'!$I$37</f>
        <v>0</v>
      </c>
      <c r="U696" s="226"/>
      <c r="V696" s="226">
        <f t="shared" si="474"/>
        <v>0</v>
      </c>
      <c r="W696" s="228"/>
      <c r="X696" s="226"/>
      <c r="Y696" s="226"/>
      <c r="Z696" s="224"/>
      <c r="AA696" s="226"/>
      <c r="AB696" s="226"/>
      <c r="AC696" s="226"/>
      <c r="AD696" s="226"/>
      <c r="AE696" s="227">
        <v>2029</v>
      </c>
      <c r="AF696" s="227">
        <v>1041.6116281049999</v>
      </c>
      <c r="AG696" s="226" t="s">
        <v>155</v>
      </c>
      <c r="AH696" s="229">
        <v>0.77</v>
      </c>
      <c r="AI696" s="225">
        <f t="shared" si="475"/>
        <v>802.04095364084992</v>
      </c>
      <c r="AJ696" s="226">
        <f t="shared" si="476"/>
        <v>6.4301467588256223E-2</v>
      </c>
      <c r="AK696" s="226"/>
      <c r="AL696" s="226">
        <f t="shared" si="477"/>
        <v>168.12291971271827</v>
      </c>
      <c r="AM696" s="228">
        <f t="shared" si="478"/>
        <v>175118.78812373066</v>
      </c>
      <c r="AN696" s="226"/>
      <c r="AO696" s="227">
        <v>1.8075757575758</v>
      </c>
      <c r="AP696" s="225"/>
      <c r="AQ696" s="226">
        <f t="shared" si="479"/>
        <v>1882.7919277716576</v>
      </c>
      <c r="AR696" s="226">
        <f t="shared" si="480"/>
        <v>2.0032711079946727E-3</v>
      </c>
      <c r="AS696" s="228">
        <f>AR696*'DADOS BASE'!W$38</f>
        <v>600930.78525590291</v>
      </c>
      <c r="AT696" s="225"/>
      <c r="AU696" s="227">
        <v>0</v>
      </c>
      <c r="AV696" s="227">
        <v>0</v>
      </c>
      <c r="AW696" s="226">
        <f t="shared" si="481"/>
        <v>0</v>
      </c>
      <c r="AX696" s="226">
        <f>IF($AW$11&gt;0,(AW696/$AW$11)*'DADOS BASE'!W$40,0)</f>
        <v>0</v>
      </c>
      <c r="AY696" s="226">
        <f t="shared" si="482"/>
        <v>0</v>
      </c>
      <c r="AZ696" s="226">
        <f t="shared" si="483"/>
        <v>0</v>
      </c>
      <c r="BA696" s="226">
        <f>AZ696*'DADOS BASE'!W$41</f>
        <v>0</v>
      </c>
      <c r="BB696" s="225"/>
      <c r="BC696" s="227">
        <v>0</v>
      </c>
      <c r="BD696" s="226">
        <f>IF($BC$11&gt;0,(BC696/$BC$11)*'DADOS BASE'!W$39,0)</f>
        <v>0</v>
      </c>
      <c r="BE696" s="187"/>
    </row>
    <row r="697" spans="2:57" x14ac:dyDescent="0.3">
      <c r="B697" s="184" t="s">
        <v>752</v>
      </c>
      <c r="C697" s="184" t="s">
        <v>785</v>
      </c>
      <c r="D697" s="184" t="s">
        <v>94</v>
      </c>
      <c r="E697" s="184">
        <v>2013</v>
      </c>
      <c r="F697" s="185"/>
      <c r="H697" s="186">
        <f ca="1">IF(AND(E697&gt;=2018,SUMIF('DADOS BASE'!$C$101:$D$104,D697,'DADOS BASE'!$H$101:$H$104)&gt;J697),
SUMIF('DADOS BASE'!$C$101:$D$104,D697,'DADOS BASE'!$H$101:$H$104),
J697)</f>
        <v>1347881.3732710271</v>
      </c>
      <c r="J697" s="186">
        <f t="shared" si="472"/>
        <v>1347881.3732710271</v>
      </c>
      <c r="K697" s="186"/>
      <c r="L697" s="188">
        <v>1354.7889729368001</v>
      </c>
      <c r="M697" s="186">
        <f t="shared" si="473"/>
        <v>1.0569435706229416E-3</v>
      </c>
      <c r="N697" s="186">
        <f>L697*'DADOS BASE'!$I$29</f>
        <v>1334109.6511923571</v>
      </c>
      <c r="O697" s="187"/>
      <c r="P697" s="188">
        <v>0</v>
      </c>
      <c r="Q697" s="186">
        <f>P697*'DADOS BASE'!$I$33</f>
        <v>0</v>
      </c>
      <c r="R697" s="186"/>
      <c r="S697" s="188">
        <v>17.481487741521999</v>
      </c>
      <c r="T697" s="186">
        <f>S697*'DADOS BASE'!$I$37</f>
        <v>13771.722078669942</v>
      </c>
      <c r="U697" s="186"/>
      <c r="V697" s="186">
        <f t="shared" si="474"/>
        <v>13771.722078669942</v>
      </c>
      <c r="W697" s="187"/>
      <c r="X697" s="186"/>
      <c r="Y697" s="186"/>
      <c r="Z697" s="185"/>
      <c r="AA697" s="186"/>
      <c r="AB697" s="186"/>
      <c r="AC697" s="186"/>
      <c r="AD697" s="186"/>
      <c r="AE697" s="188">
        <v>1176</v>
      </c>
      <c r="AF697" s="188">
        <v>775.86532764106005</v>
      </c>
      <c r="AG697" s="186" t="s">
        <v>155</v>
      </c>
      <c r="AH697" s="189">
        <v>0.75700000000000001</v>
      </c>
      <c r="AI697" s="183">
        <f t="shared" si="475"/>
        <v>587.33005302428251</v>
      </c>
      <c r="AJ697" s="186">
        <f t="shared" si="476"/>
        <v>4.6767144768218805E-2</v>
      </c>
      <c r="AK697" s="186"/>
      <c r="AL697" s="186">
        <f t="shared" si="477"/>
        <v>171.27342326228762</v>
      </c>
      <c r="AM697" s="187">
        <f t="shared" si="478"/>
        <v>132885.11065560073</v>
      </c>
      <c r="AN697" s="186"/>
      <c r="AO697" s="188">
        <v>1.6835808580858</v>
      </c>
      <c r="AQ697" s="186">
        <f t="shared" si="479"/>
        <v>1306.2320140689562</v>
      </c>
      <c r="AR697" s="186">
        <f t="shared" si="480"/>
        <v>1.3898173321887034E-3</v>
      </c>
      <c r="AS697" s="187">
        <f>AR697*'DADOS BASE'!W$38</f>
        <v>416910.13136532623</v>
      </c>
      <c r="AU697" s="188">
        <v>17.481487741521999</v>
      </c>
      <c r="AV697" s="188">
        <v>63.25</v>
      </c>
      <c r="AW697" s="186">
        <f t="shared" si="481"/>
        <v>4.3703719353804997</v>
      </c>
      <c r="AX697" s="186">
        <f>IF($AW$11&gt;0,(AW697/$AW$11)*'DADOS BASE'!W$40,0)</f>
        <v>785.25258355686947</v>
      </c>
      <c r="AY697" s="186">
        <f t="shared" si="482"/>
        <v>7.3578745331220006</v>
      </c>
      <c r="AZ697" s="186">
        <f t="shared" si="483"/>
        <v>3.848191593282876E-4</v>
      </c>
      <c r="BA697" s="186">
        <f>AZ697*'DADOS BASE'!W$41</f>
        <v>2842.9876770234619</v>
      </c>
      <c r="BC697" s="188">
        <v>0</v>
      </c>
      <c r="BD697" s="186">
        <f>IF($BC$11&gt;0,(BC697/$BC$11)*'DADOS BASE'!W$39,0)</f>
        <v>0</v>
      </c>
      <c r="BE697" s="187"/>
    </row>
    <row r="698" spans="2:57" x14ac:dyDescent="0.3">
      <c r="B698" s="223" t="s">
        <v>752</v>
      </c>
      <c r="C698" s="223" t="s">
        <v>786</v>
      </c>
      <c r="D698" s="223" t="s">
        <v>94</v>
      </c>
      <c r="E698" s="223">
        <v>2013</v>
      </c>
      <c r="F698" s="224"/>
      <c r="G698" s="225"/>
      <c r="H698" s="226">
        <f ca="1">IF(AND(E698&gt;=2018,SUMIF('DADOS BASE'!$C$101:$D$104,D698,'DADOS BASE'!$H$101:$H$104)&gt;J698),
SUMIF('DADOS BASE'!$C$101:$D$104,D698,'DADOS BASE'!$H$101:$H$104),
J698)</f>
        <v>1157207.8917078727</v>
      </c>
      <c r="I698" s="225"/>
      <c r="J698" s="226">
        <f t="shared" si="472"/>
        <v>1157207.8917078727</v>
      </c>
      <c r="K698" s="226"/>
      <c r="L698" s="227">
        <v>1162.8972885150999</v>
      </c>
      <c r="M698" s="226">
        <f t="shared" si="473"/>
        <v>9.0723857142600481E-4</v>
      </c>
      <c r="N698" s="226">
        <f>L698*'DADOS BASE'!$I$29</f>
        <v>1145146.9763518595</v>
      </c>
      <c r="O698" s="228"/>
      <c r="P698" s="227">
        <v>0</v>
      </c>
      <c r="Q698" s="226">
        <f>P698*'DADOS BASE'!$I$33</f>
        <v>0</v>
      </c>
      <c r="R698" s="226"/>
      <c r="S698" s="227">
        <v>15.309831460673999</v>
      </c>
      <c r="T698" s="226">
        <f>S698*'DADOS BASE'!$I$37</f>
        <v>12060.915356013236</v>
      </c>
      <c r="U698" s="226"/>
      <c r="V698" s="226">
        <f t="shared" si="474"/>
        <v>12060.915356013236</v>
      </c>
      <c r="W698" s="228"/>
      <c r="X698" s="226"/>
      <c r="Y698" s="226"/>
      <c r="Z698" s="224"/>
      <c r="AA698" s="226"/>
      <c r="AB698" s="226"/>
      <c r="AC698" s="226"/>
      <c r="AD698" s="226"/>
      <c r="AE698" s="227">
        <v>706</v>
      </c>
      <c r="AF698" s="227">
        <v>415.75709341486998</v>
      </c>
      <c r="AG698" s="226" t="s">
        <v>155</v>
      </c>
      <c r="AH698" s="229">
        <v>0.76900000000000002</v>
      </c>
      <c r="AI698" s="225">
        <f t="shared" si="475"/>
        <v>319.71720483603502</v>
      </c>
      <c r="AJ698" s="226">
        <f t="shared" si="476"/>
        <v>6.2952673525176417E-2</v>
      </c>
      <c r="AK698" s="226"/>
      <c r="AL698" s="226">
        <f t="shared" si="477"/>
        <v>168.36526613960822</v>
      </c>
      <c r="AM698" s="228">
        <f t="shared" si="478"/>
        <v>69999.053682224549</v>
      </c>
      <c r="AN698" s="226"/>
      <c r="AO698" s="227">
        <v>1.6879382889201</v>
      </c>
      <c r="AP698" s="225"/>
      <c r="AQ698" s="226">
        <f t="shared" si="479"/>
        <v>701.77231686508981</v>
      </c>
      <c r="AR698" s="226">
        <f t="shared" si="480"/>
        <v>7.4667847574116832E-4</v>
      </c>
      <c r="AS698" s="228">
        <f>AR698*'DADOS BASE'!W$38</f>
        <v>223984.70230521297</v>
      </c>
      <c r="AT698" s="225"/>
      <c r="AU698" s="227">
        <v>15.309831460673999</v>
      </c>
      <c r="AV698" s="227">
        <v>19.75</v>
      </c>
      <c r="AW698" s="226">
        <f t="shared" si="481"/>
        <v>3.8274578651684998</v>
      </c>
      <c r="AX698" s="226">
        <f>IF($AW$11&gt;0,(AW698/$AW$11)*'DADOS BASE'!W$40,0)</f>
        <v>687.70375188146397</v>
      </c>
      <c r="AY698" s="226">
        <f t="shared" si="482"/>
        <v>6.4605126798462962</v>
      </c>
      <c r="AZ698" s="226">
        <f t="shared" si="483"/>
        <v>3.378868513042327E-4</v>
      </c>
      <c r="BA698" s="226">
        <f>AZ698*'DADOS BASE'!W$41</f>
        <v>2496.2586482517149</v>
      </c>
      <c r="BB698" s="225"/>
      <c r="BC698" s="227">
        <v>0</v>
      </c>
      <c r="BD698" s="226">
        <f>IF($BC$11&gt;0,(BC698/$BC$11)*'DADOS BASE'!W$39,0)</f>
        <v>0</v>
      </c>
      <c r="BE698" s="187"/>
    </row>
    <row r="699" spans="2:57" x14ac:dyDescent="0.3">
      <c r="B699" s="184" t="s">
        <v>752</v>
      </c>
      <c r="C699" s="184" t="s">
        <v>787</v>
      </c>
      <c r="D699" s="184" t="s">
        <v>94</v>
      </c>
      <c r="E699" s="184">
        <v>2003</v>
      </c>
      <c r="F699" s="185"/>
      <c r="H699" s="186">
        <f ca="1">IF(AND(E699&gt;=2018,SUMIF('DADOS BASE'!$C$101:$D$104,D699,'DADOS BASE'!$H$101:$H$104)&gt;J699),
SUMIF('DADOS BASE'!$C$101:$D$104,D699,'DADOS BASE'!$H$101:$H$104),
J699)</f>
        <v>2422637.2784010987</v>
      </c>
      <c r="J699" s="186">
        <f t="shared" si="472"/>
        <v>2422637.2784010987</v>
      </c>
      <c r="K699" s="186"/>
      <c r="L699" s="188">
        <v>2444.9419222359002</v>
      </c>
      <c r="M699" s="186">
        <f t="shared" si="473"/>
        <v>1.9074303798413631E-3</v>
      </c>
      <c r="N699" s="186">
        <f>L699*'DADOS BASE'!$I$29</f>
        <v>2407622.6484106979</v>
      </c>
      <c r="O699" s="187"/>
      <c r="P699" s="188">
        <v>0</v>
      </c>
      <c r="Q699" s="186">
        <f>P699*'DADOS BASE'!$I$33</f>
        <v>0</v>
      </c>
      <c r="R699" s="186"/>
      <c r="S699" s="188">
        <v>19.0592046965</v>
      </c>
      <c r="T699" s="186">
        <f>S699*'DADOS BASE'!$I$37</f>
        <v>15014.629990400728</v>
      </c>
      <c r="U699" s="186"/>
      <c r="V699" s="186">
        <f t="shared" si="474"/>
        <v>15014.629990400728</v>
      </c>
      <c r="W699" s="187"/>
      <c r="X699" s="186"/>
      <c r="Y699" s="186"/>
      <c r="Z699" s="185"/>
      <c r="AA699" s="186"/>
      <c r="AB699" s="186"/>
      <c r="AC699" s="186"/>
      <c r="AD699" s="186"/>
      <c r="AE699" s="188">
        <v>1714</v>
      </c>
      <c r="AF699" s="188">
        <v>1048.3208383101</v>
      </c>
      <c r="AG699" s="186" t="s">
        <v>155</v>
      </c>
      <c r="AH699" s="189">
        <v>0.80900000000000005</v>
      </c>
      <c r="AI699" s="183">
        <f t="shared" si="475"/>
        <v>848.09155819287093</v>
      </c>
      <c r="AJ699" s="186">
        <f t="shared" si="476"/>
        <v>0.11690443604836848</v>
      </c>
      <c r="AK699" s="186"/>
      <c r="AL699" s="186">
        <f t="shared" si="477"/>
        <v>158.67140906401022</v>
      </c>
      <c r="AM699" s="187">
        <f t="shared" si="478"/>
        <v>166338.54456582799</v>
      </c>
      <c r="AN699" s="186"/>
      <c r="AO699" s="188">
        <v>1.7721407624633001</v>
      </c>
      <c r="AQ699" s="186">
        <f t="shared" si="479"/>
        <v>1857.7720897090267</v>
      </c>
      <c r="AR699" s="186">
        <f t="shared" si="480"/>
        <v>1.9766502594674041E-3</v>
      </c>
      <c r="AS699" s="187">
        <f>AR699*'DADOS BASE'!W$38</f>
        <v>592945.20240302396</v>
      </c>
      <c r="AU699" s="188">
        <v>19.0592046965</v>
      </c>
      <c r="AV699" s="188">
        <v>43.75</v>
      </c>
      <c r="AW699" s="186">
        <f t="shared" si="481"/>
        <v>4.764801174125</v>
      </c>
      <c r="AX699" s="186">
        <f>IF($AW$11&gt;0,(AW699/$AW$11)*'DADOS BASE'!W$40,0)</f>
        <v>856.12219908022689</v>
      </c>
      <c r="AY699" s="186">
        <f t="shared" si="482"/>
        <v>8.4438983856999048</v>
      </c>
      <c r="AZ699" s="186">
        <f t="shared" si="483"/>
        <v>4.4161854943451835E-4</v>
      </c>
      <c r="BA699" s="186">
        <f>AZ699*'DADOS BASE'!W$41</f>
        <v>3262.6132653552127</v>
      </c>
      <c r="BC699" s="188">
        <v>0</v>
      </c>
      <c r="BD699" s="186">
        <f>IF($BC$11&gt;0,(BC699/$BC$11)*'DADOS BASE'!W$39,0)</f>
        <v>0</v>
      </c>
      <c r="BE699" s="187"/>
    </row>
    <row r="700" spans="2:57" x14ac:dyDescent="0.3">
      <c r="B700" s="223" t="s">
        <v>752</v>
      </c>
      <c r="C700" s="223" t="s">
        <v>788</v>
      </c>
      <c r="D700" s="223" t="s">
        <v>94</v>
      </c>
      <c r="E700" s="223">
        <v>2010</v>
      </c>
      <c r="F700" s="224"/>
      <c r="G700" s="225"/>
      <c r="H700" s="226">
        <f ca="1">IF(AND(E700&gt;=2018,SUMIF('DADOS BASE'!$C$101:$D$104,D700,'DADOS BASE'!$H$101:$H$104)&gt;J700),
SUMIF('DADOS BASE'!$C$101:$D$104,D700,'DADOS BASE'!$H$101:$H$104),
J700)</f>
        <v>2112818.2150293095</v>
      </c>
      <c r="I700" s="225"/>
      <c r="J700" s="226">
        <f t="shared" si="472"/>
        <v>2112818.2150293095</v>
      </c>
      <c r="K700" s="226"/>
      <c r="L700" s="227">
        <v>2145.5678826574999</v>
      </c>
      <c r="M700" s="226">
        <f t="shared" si="473"/>
        <v>1.673872628291396E-3</v>
      </c>
      <c r="N700" s="226">
        <f>L700*'DADOS BASE'!$I$29</f>
        <v>2112818.2150293095</v>
      </c>
      <c r="O700" s="228"/>
      <c r="P700" s="227">
        <v>0</v>
      </c>
      <c r="Q700" s="226">
        <f>P700*'DADOS BASE'!$I$33</f>
        <v>0</v>
      </c>
      <c r="R700" s="226"/>
      <c r="S700" s="227">
        <v>0</v>
      </c>
      <c r="T700" s="226">
        <f>S700*'DADOS BASE'!$I$37</f>
        <v>0</v>
      </c>
      <c r="U700" s="226"/>
      <c r="V700" s="226">
        <f t="shared" si="474"/>
        <v>0</v>
      </c>
      <c r="W700" s="228"/>
      <c r="X700" s="226"/>
      <c r="Y700" s="226"/>
      <c r="Z700" s="224"/>
      <c r="AA700" s="226"/>
      <c r="AB700" s="226"/>
      <c r="AC700" s="226"/>
      <c r="AD700" s="226"/>
      <c r="AE700" s="227">
        <v>973</v>
      </c>
      <c r="AF700" s="227">
        <v>736.49695772919995</v>
      </c>
      <c r="AG700" s="226" t="s">
        <v>155</v>
      </c>
      <c r="AH700" s="229">
        <v>0.80100000000000005</v>
      </c>
      <c r="AI700" s="225">
        <f t="shared" si="475"/>
        <v>589.93406314108915</v>
      </c>
      <c r="AJ700" s="226">
        <f t="shared" si="476"/>
        <v>0.10611408354373006</v>
      </c>
      <c r="AK700" s="226"/>
      <c r="AL700" s="226">
        <f t="shared" si="477"/>
        <v>160.61018047912981</v>
      </c>
      <c r="AM700" s="228">
        <f t="shared" si="478"/>
        <v>118288.90930321685</v>
      </c>
      <c r="AN700" s="226"/>
      <c r="AO700" s="227">
        <v>1.6967435549525001</v>
      </c>
      <c r="AP700" s="225"/>
      <c r="AQ700" s="226">
        <f t="shared" si="479"/>
        <v>1249.646466269144</v>
      </c>
      <c r="AR700" s="226">
        <f t="shared" si="480"/>
        <v>1.3296108954787393E-3</v>
      </c>
      <c r="AS700" s="228">
        <f>AR700*'DADOS BASE'!W$38</f>
        <v>398849.71949935786</v>
      </c>
      <c r="AT700" s="225"/>
      <c r="AU700" s="227">
        <v>0</v>
      </c>
      <c r="AV700" s="227">
        <v>0</v>
      </c>
      <c r="AW700" s="226">
        <f t="shared" si="481"/>
        <v>0</v>
      </c>
      <c r="AX700" s="226">
        <f>IF($AW$11&gt;0,(AW700/$AW$11)*'DADOS BASE'!W$40,0)</f>
        <v>0</v>
      </c>
      <c r="AY700" s="226">
        <f t="shared" si="482"/>
        <v>0</v>
      </c>
      <c r="AZ700" s="226">
        <f t="shared" si="483"/>
        <v>0</v>
      </c>
      <c r="BA700" s="226">
        <f>AZ700*'DADOS BASE'!W$41</f>
        <v>0</v>
      </c>
      <c r="BB700" s="225"/>
      <c r="BC700" s="227">
        <v>0</v>
      </c>
      <c r="BD700" s="226">
        <f>IF($BC$11&gt;0,(BC700/$BC$11)*'DADOS BASE'!W$39,0)</f>
        <v>0</v>
      </c>
      <c r="BE700" s="187"/>
    </row>
    <row r="701" spans="2:57" x14ac:dyDescent="0.3">
      <c r="B701" s="184" t="s">
        <v>752</v>
      </c>
      <c r="C701" s="184" t="s">
        <v>789</v>
      </c>
      <c r="D701" s="184" t="s">
        <v>94</v>
      </c>
      <c r="E701" s="184">
        <v>2013</v>
      </c>
      <c r="F701" s="185"/>
      <c r="H701" s="186">
        <f ca="1">IF(AND(E701&gt;=2018,SUMIF('DADOS BASE'!$C$101:$D$104,D701,'DADOS BASE'!$H$101:$H$104)&gt;J701),
SUMIF('DADOS BASE'!$C$101:$D$104,D701,'DADOS BASE'!$H$101:$H$104),
J701)</f>
        <v>695850.38790115004</v>
      </c>
      <c r="J701" s="186">
        <f t="shared" si="472"/>
        <v>695850.38790115004</v>
      </c>
      <c r="K701" s="186"/>
      <c r="L701" s="188">
        <v>494.83187210735002</v>
      </c>
      <c r="M701" s="186">
        <f t="shared" si="473"/>
        <v>3.8604489423134337E-4</v>
      </c>
      <c r="N701" s="186">
        <f>L701*'DADOS BASE'!$I$29</f>
        <v>487278.82311069989</v>
      </c>
      <c r="O701" s="187"/>
      <c r="P701" s="188">
        <v>0</v>
      </c>
      <c r="Q701" s="186">
        <f>P701*'DADOS BASE'!$I$33</f>
        <v>0</v>
      </c>
      <c r="R701" s="186"/>
      <c r="S701" s="188">
        <v>264.75565163789997</v>
      </c>
      <c r="T701" s="186">
        <f>S701*'DADOS BASE'!$I$37</f>
        <v>208571.56479045012</v>
      </c>
      <c r="U701" s="186"/>
      <c r="V701" s="186">
        <f t="shared" si="474"/>
        <v>208571.56479045012</v>
      </c>
      <c r="W701" s="187"/>
      <c r="X701" s="186"/>
      <c r="Y701" s="186"/>
      <c r="Z701" s="185"/>
      <c r="AA701" s="186"/>
      <c r="AB701" s="186"/>
      <c r="AC701" s="186"/>
      <c r="AD701" s="186"/>
      <c r="AE701" s="188">
        <v>941</v>
      </c>
      <c r="AF701" s="188">
        <v>320.19304104576003</v>
      </c>
      <c r="AG701" s="186" t="s">
        <v>155</v>
      </c>
      <c r="AH701" s="189">
        <v>0.79600000000000004</v>
      </c>
      <c r="AI701" s="183">
        <f t="shared" si="475"/>
        <v>254.87366067242499</v>
      </c>
      <c r="AJ701" s="186">
        <f t="shared" si="476"/>
        <v>9.9370113228331058E-2</v>
      </c>
      <c r="AK701" s="186"/>
      <c r="AL701" s="186">
        <f t="shared" si="477"/>
        <v>161.82191261357957</v>
      </c>
      <c r="AM701" s="187">
        <f t="shared" si="478"/>
        <v>51814.250307583272</v>
      </c>
      <c r="AN701" s="186"/>
      <c r="AO701" s="188">
        <v>1.6284364261168001</v>
      </c>
      <c r="AQ701" s="186">
        <f t="shared" si="479"/>
        <v>521.41401142802738</v>
      </c>
      <c r="AR701" s="186">
        <f t="shared" si="480"/>
        <v>5.5477910702199005E-4</v>
      </c>
      <c r="AS701" s="187">
        <f>AR701*'DADOS BASE'!W$38</f>
        <v>166419.73375237218</v>
      </c>
      <c r="AU701" s="188">
        <v>122.24202255992</v>
      </c>
      <c r="AV701" s="188">
        <v>76.75</v>
      </c>
      <c r="AW701" s="186">
        <f t="shared" si="481"/>
        <v>30.560505639980001</v>
      </c>
      <c r="AX701" s="186">
        <f>IF($AW$11&gt;0,(AW701/$AW$11)*'DADOS BASE'!W$40,0)</f>
        <v>5491.0008492238885</v>
      </c>
      <c r="AY701" s="186">
        <f t="shared" si="482"/>
        <v>49.765840584691347</v>
      </c>
      <c r="AZ701" s="186">
        <f t="shared" si="483"/>
        <v>2.6027691625968314E-3</v>
      </c>
      <c r="BA701" s="186">
        <f>AZ701*'DADOS BASE'!W$41</f>
        <v>19228.877970410162</v>
      </c>
      <c r="BC701" s="188">
        <v>0</v>
      </c>
      <c r="BD701" s="186">
        <f>IF($BC$11&gt;0,(BC701/$BC$11)*'DADOS BASE'!W$39,0)</f>
        <v>0</v>
      </c>
      <c r="BE701" s="187"/>
    </row>
    <row r="702" spans="2:57" x14ac:dyDescent="0.3">
      <c r="B702" s="223" t="s">
        <v>752</v>
      </c>
      <c r="C702" s="223" t="s">
        <v>790</v>
      </c>
      <c r="D702" s="223" t="s">
        <v>94</v>
      </c>
      <c r="E702" s="223">
        <v>2013</v>
      </c>
      <c r="F702" s="224"/>
      <c r="G702" s="225"/>
      <c r="H702" s="226">
        <f ca="1">IF(AND(E702&gt;=2018,SUMIF('DADOS BASE'!$C$101:$D$104,D702,'DADOS BASE'!$H$101:$H$104)&gt;J702),
SUMIF('DADOS BASE'!$C$101:$D$104,D702,'DADOS BASE'!$H$101:$H$104),
J702)</f>
        <v>525292.71710237209</v>
      </c>
      <c r="I702" s="225"/>
      <c r="J702" s="226">
        <f t="shared" si="472"/>
        <v>525292.71710237209</v>
      </c>
      <c r="K702" s="226"/>
      <c r="L702" s="227">
        <v>531.70367842864005</v>
      </c>
      <c r="M702" s="226">
        <f t="shared" si="473"/>
        <v>4.1481056874378259E-4</v>
      </c>
      <c r="N702" s="226">
        <f>L702*'DADOS BASE'!$I$29</f>
        <v>523587.82300128514</v>
      </c>
      <c r="O702" s="228"/>
      <c r="P702" s="227">
        <v>0</v>
      </c>
      <c r="Q702" s="226">
        <f>P702*'DADOS BASE'!$I$33</f>
        <v>0</v>
      </c>
      <c r="R702" s="226"/>
      <c r="S702" s="227">
        <v>2.1641509433962001</v>
      </c>
      <c r="T702" s="226">
        <f>S702*'DADOS BASE'!$I$37</f>
        <v>1704.8941010869014</v>
      </c>
      <c r="U702" s="226"/>
      <c r="V702" s="226">
        <f t="shared" si="474"/>
        <v>1704.8941010869014</v>
      </c>
      <c r="W702" s="228"/>
      <c r="X702" s="226"/>
      <c r="Y702" s="226"/>
      <c r="Z702" s="224"/>
      <c r="AA702" s="226"/>
      <c r="AB702" s="226"/>
      <c r="AC702" s="226"/>
      <c r="AD702" s="226"/>
      <c r="AE702" s="227">
        <v>642</v>
      </c>
      <c r="AF702" s="227">
        <v>214.66070780094</v>
      </c>
      <c r="AG702" s="226" t="s">
        <v>155</v>
      </c>
      <c r="AH702" s="229">
        <v>0.69899999999999995</v>
      </c>
      <c r="AI702" s="225">
        <f t="shared" si="475"/>
        <v>150.04783475285706</v>
      </c>
      <c r="AJ702" s="226">
        <f t="shared" si="476"/>
        <v>-3.1462910890409673E-2</v>
      </c>
      <c r="AK702" s="226"/>
      <c r="AL702" s="226">
        <f t="shared" si="477"/>
        <v>185.32951602190477</v>
      </c>
      <c r="AM702" s="228">
        <f t="shared" si="478"/>
        <v>39782.965085667725</v>
      </c>
      <c r="AN702" s="226"/>
      <c r="AO702" s="227">
        <v>1.7704248366013</v>
      </c>
      <c r="AP702" s="225"/>
      <c r="AQ702" s="226">
        <f t="shared" si="479"/>
        <v>380.04064853319863</v>
      </c>
      <c r="AR702" s="226">
        <f t="shared" si="480"/>
        <v>4.0435931333695797E-4</v>
      </c>
      <c r="AS702" s="228">
        <f>AR702*'DADOS BASE'!W$38</f>
        <v>121297.59108459225</v>
      </c>
      <c r="AT702" s="225"/>
      <c r="AU702" s="227">
        <v>2.1641509433962001</v>
      </c>
      <c r="AV702" s="227">
        <v>14.5</v>
      </c>
      <c r="AW702" s="226">
        <f t="shared" si="481"/>
        <v>0.54103773584905002</v>
      </c>
      <c r="AX702" s="226">
        <f>IF($AW$11&gt;0,(AW702/$AW$11)*'DADOS BASE'!W$40,0)</f>
        <v>97.211698720154018</v>
      </c>
      <c r="AY702" s="226">
        <f t="shared" si="482"/>
        <v>0.95786664508569175</v>
      </c>
      <c r="AZ702" s="226">
        <f t="shared" si="483"/>
        <v>5.0096727723635309E-5</v>
      </c>
      <c r="BA702" s="226">
        <f>AZ702*'DADOS BASE'!W$41</f>
        <v>370.10729877925121</v>
      </c>
      <c r="BB702" s="225"/>
      <c r="BC702" s="227">
        <v>0</v>
      </c>
      <c r="BD702" s="226">
        <f>IF($BC$11&gt;0,(BC702/$BC$11)*'DADOS BASE'!W$39,0)</f>
        <v>0</v>
      </c>
      <c r="BE702" s="187"/>
    </row>
    <row r="703" spans="2:57" x14ac:dyDescent="0.3">
      <c r="B703" s="184" t="s">
        <v>752</v>
      </c>
      <c r="C703" s="184" t="s">
        <v>791</v>
      </c>
      <c r="D703" s="184" t="s">
        <v>94</v>
      </c>
      <c r="E703" s="184">
        <v>2010</v>
      </c>
      <c r="F703" s="185"/>
      <c r="H703" s="186">
        <f ca="1">IF(AND(E703&gt;=2018,SUMIF('DADOS BASE'!$C$101:$D$104,D703,'DADOS BASE'!$H$101:$H$104)&gt;J703),
SUMIF('DADOS BASE'!$C$101:$D$104,D703,'DADOS BASE'!$H$101:$H$104),
J703)</f>
        <v>1441477.9440455178</v>
      </c>
      <c r="J703" s="186">
        <f t="shared" si="472"/>
        <v>1441477.9440455178</v>
      </c>
      <c r="K703" s="186"/>
      <c r="L703" s="188">
        <v>1463.3339504349999</v>
      </c>
      <c r="M703" s="186">
        <f t="shared" si="473"/>
        <v>1.141625331680858E-3</v>
      </c>
      <c r="N703" s="186">
        <f>L703*'DADOS BASE'!$I$29</f>
        <v>1440997.8123462647</v>
      </c>
      <c r="O703" s="187"/>
      <c r="P703" s="188">
        <v>0</v>
      </c>
      <c r="Q703" s="186">
        <f>P703*'DADOS BASE'!$I$33</f>
        <v>0</v>
      </c>
      <c r="R703" s="186"/>
      <c r="S703" s="188">
        <v>0.6094674556213</v>
      </c>
      <c r="T703" s="186">
        <f>S703*'DADOS BASE'!$I$37</f>
        <v>480.13169925318329</v>
      </c>
      <c r="U703" s="186"/>
      <c r="V703" s="186">
        <f t="shared" si="474"/>
        <v>480.13169925318329</v>
      </c>
      <c r="W703" s="187"/>
      <c r="X703" s="186"/>
      <c r="Y703" s="186"/>
      <c r="Z703" s="185"/>
      <c r="AA703" s="186"/>
      <c r="AB703" s="186"/>
      <c r="AC703" s="186"/>
      <c r="AD703" s="186"/>
      <c r="AE703" s="188">
        <v>864</v>
      </c>
      <c r="AF703" s="188">
        <v>656.31881714691997</v>
      </c>
      <c r="AG703" s="186" t="s">
        <v>155</v>
      </c>
      <c r="AH703" s="189">
        <v>0.77500000000000002</v>
      </c>
      <c r="AI703" s="183">
        <f t="shared" si="475"/>
        <v>508.64708328886297</v>
      </c>
      <c r="AJ703" s="186">
        <f t="shared" si="476"/>
        <v>7.1045437903655223E-2</v>
      </c>
      <c r="AK703" s="186"/>
      <c r="AL703" s="186">
        <f t="shared" si="477"/>
        <v>166.91118757826854</v>
      </c>
      <c r="AM703" s="187">
        <f t="shared" si="478"/>
        <v>109546.95319995689</v>
      </c>
      <c r="AN703" s="186"/>
      <c r="AO703" s="188">
        <v>1.6313309776206999</v>
      </c>
      <c r="AQ703" s="186">
        <f t="shared" si="479"/>
        <v>1070.6732176071464</v>
      </c>
      <c r="AR703" s="186">
        <f t="shared" si="480"/>
        <v>1.1391852128209326E-3</v>
      </c>
      <c r="AS703" s="187">
        <f>AR703*'DADOS BASE'!W$38</f>
        <v>341726.8195804361</v>
      </c>
      <c r="AU703" s="188">
        <v>0.6094674556213</v>
      </c>
      <c r="AV703" s="188">
        <v>2.5</v>
      </c>
      <c r="AW703" s="186">
        <f t="shared" si="481"/>
        <v>0.152366863905325</v>
      </c>
      <c r="AX703" s="186">
        <f>IF($AW$11&gt;0,(AW703/$AW$11)*'DADOS BASE'!W$40,0)</f>
        <v>27.376725665271678</v>
      </c>
      <c r="AY703" s="186">
        <f t="shared" si="482"/>
        <v>0.24856078505167398</v>
      </c>
      <c r="AZ703" s="186">
        <f t="shared" si="483"/>
        <v>1.2999807473610041E-5</v>
      </c>
      <c r="BA703" s="186">
        <f>AZ703*'DADOS BASE'!W$41</f>
        <v>96.040676653580775</v>
      </c>
      <c r="BC703" s="188">
        <v>0</v>
      </c>
      <c r="BD703" s="186">
        <f>IF($BC$11&gt;0,(BC703/$BC$11)*'DADOS BASE'!W$39,0)</f>
        <v>0</v>
      </c>
      <c r="BE703" s="187"/>
    </row>
    <row r="704" spans="2:57" x14ac:dyDescent="0.3">
      <c r="B704" s="223" t="s">
        <v>752</v>
      </c>
      <c r="C704" s="223" t="s">
        <v>792</v>
      </c>
      <c r="D704" s="223" t="s">
        <v>209</v>
      </c>
      <c r="E704" s="223">
        <v>0</v>
      </c>
      <c r="F704" s="224"/>
      <c r="G704" s="225"/>
      <c r="H704" s="226">
        <f ca="1">IF(AND(E704&gt;=2018,SUMIF('DADOS BASE'!$C$101:$D$104,D704,'DADOS BASE'!$H$101:$H$104)&gt;J704),
SUMIF('DADOS BASE'!$C$101:$D$104,D704,'DADOS BASE'!$H$101:$H$104),
J704)</f>
        <v>874993.9505041223</v>
      </c>
      <c r="I704" s="225"/>
      <c r="J704" s="226">
        <f t="shared" si="472"/>
        <v>874993.9505041223</v>
      </c>
      <c r="K704" s="226"/>
      <c r="L704" s="227">
        <v>29.090695852302002</v>
      </c>
      <c r="M704" s="226">
        <f t="shared" si="473"/>
        <v>2.2695212730722759E-5</v>
      </c>
      <c r="N704" s="226">
        <f>L704*'DADOS BASE'!$I$29</f>
        <v>28646.659274416783</v>
      </c>
      <c r="O704" s="228"/>
      <c r="P704" s="227">
        <v>0.2869692543988</v>
      </c>
      <c r="Q704" s="226">
        <f>P704*'DADOS BASE'!$I$33</f>
        <v>70.64724830521142</v>
      </c>
      <c r="R704" s="226"/>
      <c r="S704" s="227">
        <v>1074.2429082715</v>
      </c>
      <c r="T704" s="226">
        <f>S704*'DADOS BASE'!$I$37</f>
        <v>846276.6439814003</v>
      </c>
      <c r="U704" s="226"/>
      <c r="V704" s="226">
        <f t="shared" si="474"/>
        <v>846347.29122970556</v>
      </c>
      <c r="W704" s="228"/>
      <c r="X704" s="226"/>
      <c r="Y704" s="226"/>
      <c r="Z704" s="224"/>
      <c r="AA704" s="226"/>
      <c r="AB704" s="226"/>
      <c r="AC704" s="226"/>
      <c r="AD704" s="226"/>
      <c r="AE704" s="227">
        <v>56</v>
      </c>
      <c r="AF704" s="227">
        <v>7.7575188939472</v>
      </c>
      <c r="AG704" s="226" t="s">
        <v>155</v>
      </c>
      <c r="AH704" s="229">
        <v>0.84699999999999998</v>
      </c>
      <c r="AI704" s="225">
        <f t="shared" si="475"/>
        <v>6.5706185031732778</v>
      </c>
      <c r="AJ704" s="226">
        <f t="shared" si="476"/>
        <v>0.16815861044540076</v>
      </c>
      <c r="AK704" s="226"/>
      <c r="AL704" s="226">
        <f t="shared" si="477"/>
        <v>149.46224484219215</v>
      </c>
      <c r="AM704" s="228">
        <f t="shared" si="478"/>
        <v>1159.4561882950679</v>
      </c>
      <c r="AN704" s="226"/>
      <c r="AO704" s="227">
        <v>1.4696569920844</v>
      </c>
      <c r="AP704" s="225"/>
      <c r="AQ704" s="226">
        <f t="shared" si="479"/>
        <v>11.400891883716344</v>
      </c>
      <c r="AR704" s="226">
        <f t="shared" si="480"/>
        <v>1.2130430866596431E-5</v>
      </c>
      <c r="AS704" s="228">
        <f>AR704*'DADOS BASE'!W$38</f>
        <v>3638.8231812783779</v>
      </c>
      <c r="AT704" s="225"/>
      <c r="AU704" s="227">
        <v>552.15527764494004</v>
      </c>
      <c r="AV704" s="227">
        <v>689</v>
      </c>
      <c r="AW704" s="226">
        <f t="shared" si="481"/>
        <v>138.03881941123501</v>
      </c>
      <c r="AX704" s="226">
        <f>IF($AW$11&gt;0,(AW704/$AW$11)*'DADOS BASE'!W$40,0)</f>
        <v>24802.314580206352</v>
      </c>
      <c r="AY704" s="226">
        <f t="shared" si="482"/>
        <v>202.86971612679733</v>
      </c>
      <c r="AZ704" s="226">
        <f t="shared" si="483"/>
        <v>1.0610150154321481E-2</v>
      </c>
      <c r="BA704" s="226">
        <f>AZ704*'DADOS BASE'!W$41</f>
        <v>78386.237818193782</v>
      </c>
      <c r="BB704" s="225"/>
      <c r="BC704" s="227">
        <v>0</v>
      </c>
      <c r="BD704" s="226">
        <f>IF($BC$11&gt;0,(BC704/$BC$11)*'DADOS BASE'!W$39,0)</f>
        <v>0</v>
      </c>
      <c r="BE704" s="187"/>
    </row>
    <row r="705" spans="2:57" x14ac:dyDescent="0.3">
      <c r="F705" s="185"/>
      <c r="H705" s="186"/>
      <c r="J705" s="186"/>
      <c r="K705" s="186"/>
      <c r="L705" s="186"/>
      <c r="M705" s="186"/>
      <c r="N705" s="186"/>
      <c r="O705" s="187"/>
      <c r="P705" s="186"/>
      <c r="Q705" s="186"/>
      <c r="R705" s="186"/>
      <c r="S705" s="186"/>
      <c r="T705" s="186"/>
      <c r="U705" s="186"/>
      <c r="V705" s="186"/>
      <c r="W705" s="187"/>
      <c r="X705" s="186"/>
      <c r="Y705" s="186"/>
      <c r="Z705" s="185"/>
      <c r="AA705" s="186"/>
      <c r="AB705" s="186"/>
      <c r="AC705" s="186"/>
      <c r="AD705" s="186"/>
      <c r="AE705" s="186"/>
      <c r="AF705" s="186"/>
      <c r="AG705" s="186"/>
      <c r="AH705" s="185"/>
      <c r="AJ705" s="186"/>
      <c r="AK705" s="186"/>
      <c r="AL705" s="186"/>
      <c r="AM705" s="187"/>
      <c r="AN705" s="186"/>
      <c r="AO705" s="186"/>
      <c r="AQ705" s="186"/>
      <c r="AR705" s="186"/>
      <c r="AS705" s="187"/>
      <c r="AU705" s="186"/>
      <c r="AV705" s="186"/>
      <c r="AW705" s="186"/>
      <c r="AX705" s="186"/>
      <c r="AY705" s="186"/>
      <c r="AZ705" s="186"/>
      <c r="BA705" s="186"/>
      <c r="BC705" s="186"/>
      <c r="BD705" s="186"/>
      <c r="BE705" s="187"/>
    </row>
    <row r="706" spans="2:57" x14ac:dyDescent="0.3">
      <c r="B706" s="209" t="s">
        <v>793</v>
      </c>
      <c r="C706" s="209" t="s">
        <v>794</v>
      </c>
      <c r="D706" s="211" t="s">
        <v>154</v>
      </c>
      <c r="E706" s="211"/>
      <c r="F706" s="210"/>
      <c r="G706" s="211"/>
      <c r="H706" s="212">
        <f ca="1">SUM(H707:H717)</f>
        <v>16702671.440062374</v>
      </c>
      <c r="I706" s="211"/>
      <c r="J706" s="212">
        <f>SUM(J707:J717)</f>
        <v>16002671.440062374</v>
      </c>
      <c r="K706" s="212"/>
      <c r="L706" s="212">
        <f>SUM(L707:L717)</f>
        <v>16250.720310096329</v>
      </c>
      <c r="M706" s="212">
        <f>SUM(M707:M717)</f>
        <v>1.2678058865887467E-2</v>
      </c>
      <c r="N706" s="212">
        <f>SUM(N707:N717)</f>
        <v>16002671.440062374</v>
      </c>
      <c r="O706" s="214"/>
      <c r="P706" s="212">
        <f>SUM(P707:P717)</f>
        <v>0</v>
      </c>
      <c r="Q706" s="212">
        <f>SUM(Q707:Q717)</f>
        <v>0</v>
      </c>
      <c r="R706" s="212"/>
      <c r="S706" s="212">
        <f>SUM(S707:S717)</f>
        <v>0</v>
      </c>
      <c r="T706" s="212">
        <f>SUM(T707:T717)</f>
        <v>0</v>
      </c>
      <c r="U706" s="212"/>
      <c r="V706" s="212">
        <f>SUM(V707:V717)</f>
        <v>0</v>
      </c>
      <c r="W706" s="214"/>
      <c r="X706" s="212">
        <f>SUMIF(INDICADORES!$D$13:$D$53,C706,INDICADORES!$L$13:$L$53)</f>
        <v>1.6703151156159748E-2</v>
      </c>
      <c r="Y706" s="212">
        <f>X706*'DADOS BASE'!$I$79</f>
        <v>693568.56224065053</v>
      </c>
      <c r="Z706" s="210">
        <f>SUMIF(INDICADORES!$D$13:$D$53,C706,INDICADORES!$R$13:$R$53)</f>
        <v>3.5044988251475728E-2</v>
      </c>
      <c r="AA706" s="212">
        <f>Z706*'DADOS BASE'!$I$84</f>
        <v>1455180.6355624676</v>
      </c>
      <c r="AB706" s="212">
        <f>SUMIF(INDICADORES!$D$13:$D$53,C706,INDICADORES!$Z$13:$Z$53)</f>
        <v>3.4019589834087365E-2</v>
      </c>
      <c r="AC706" s="212">
        <f>AB706*'DADOS BASE'!$I$89</f>
        <v>2825205.5900893104</v>
      </c>
      <c r="AD706" s="212"/>
      <c r="AE706" s="212">
        <f>SUM(AE707:AE717)</f>
        <v>11015</v>
      </c>
      <c r="AF706" s="212">
        <f>SUM(AF707:AF717)</f>
        <v>6985.6773837083801</v>
      </c>
      <c r="AG706" s="212" t="s">
        <v>155</v>
      </c>
      <c r="AH706" s="210"/>
      <c r="AI706" s="211"/>
      <c r="AJ706" s="212"/>
      <c r="AK706" s="212"/>
      <c r="AL706" s="212"/>
      <c r="AM706" s="214">
        <f>SUM(AM707:AM717)</f>
        <v>1297457.2368536545</v>
      </c>
      <c r="AN706" s="212"/>
      <c r="AO706" s="212"/>
      <c r="AP706" s="211"/>
      <c r="AQ706" s="212">
        <f>SUM(AQ707:AQ717)</f>
        <v>13492.633771320085</v>
      </c>
      <c r="AR706" s="212"/>
      <c r="AS706" s="214">
        <f>SUM(AS707:AS717)</f>
        <v>4306444.5347213289</v>
      </c>
      <c r="AT706" s="211"/>
      <c r="AU706" s="212">
        <f t="shared" ref="AU706:BA706" si="484">SUM(AU707:AU717)</f>
        <v>0</v>
      </c>
      <c r="AV706" s="212">
        <f t="shared" si="484"/>
        <v>0</v>
      </c>
      <c r="AW706" s="212">
        <f t="shared" si="484"/>
        <v>0</v>
      </c>
      <c r="AX706" s="212">
        <f t="shared" si="484"/>
        <v>0</v>
      </c>
      <c r="AY706" s="212">
        <f t="shared" si="484"/>
        <v>0</v>
      </c>
      <c r="AZ706" s="212">
        <f t="shared" si="484"/>
        <v>0</v>
      </c>
      <c r="BA706" s="212">
        <f t="shared" si="484"/>
        <v>0</v>
      </c>
      <c r="BB706" s="211"/>
      <c r="BC706" s="212">
        <f>SUM(BC707:BC717)</f>
        <v>87</v>
      </c>
      <c r="BD706" s="212">
        <f>SUM(BD707:BD717)</f>
        <v>470078.74908871698</v>
      </c>
      <c r="BE706" s="187"/>
    </row>
    <row r="707" spans="2:57" x14ac:dyDescent="0.3">
      <c r="B707" s="216" t="s">
        <v>793</v>
      </c>
      <c r="C707" s="218" t="s">
        <v>156</v>
      </c>
      <c r="D707" s="218" t="s">
        <v>157</v>
      </c>
      <c r="E707" s="218"/>
      <c r="F707" s="217"/>
      <c r="G707" s="218"/>
      <c r="H707" s="219"/>
      <c r="I707" s="218"/>
      <c r="J707" s="219"/>
      <c r="K707" s="219"/>
      <c r="L707" s="219">
        <v>0</v>
      </c>
      <c r="M707" s="219">
        <v>0</v>
      </c>
      <c r="N707" s="219">
        <v>0</v>
      </c>
      <c r="O707" s="221"/>
      <c r="P707" s="219"/>
      <c r="Q707" s="219"/>
      <c r="R707" s="219"/>
      <c r="S707" s="219"/>
      <c r="T707" s="219"/>
      <c r="U707" s="219"/>
      <c r="V707" s="219"/>
      <c r="W707" s="221"/>
      <c r="X707" s="219"/>
      <c r="Y707" s="219"/>
      <c r="Z707" s="217"/>
      <c r="AA707" s="219"/>
      <c r="AB707" s="219"/>
      <c r="AC707" s="219"/>
      <c r="AD707" s="219"/>
      <c r="AE707" s="219"/>
      <c r="AF707" s="219"/>
      <c r="AG707" s="219" t="s">
        <v>155</v>
      </c>
      <c r="AH707" s="217"/>
      <c r="AI707" s="218"/>
      <c r="AJ707" s="219"/>
      <c r="AK707" s="219"/>
      <c r="AL707" s="219"/>
      <c r="AM707" s="221"/>
      <c r="AN707" s="219"/>
      <c r="AO707" s="219"/>
      <c r="AP707" s="218"/>
      <c r="AQ707" s="219"/>
      <c r="AR707" s="219"/>
      <c r="AS707" s="221"/>
      <c r="AT707" s="218"/>
      <c r="AU707" s="219"/>
      <c r="AV707" s="219"/>
      <c r="AW707" s="219"/>
      <c r="AX707" s="219"/>
      <c r="AY707" s="219"/>
      <c r="AZ707" s="219"/>
      <c r="BA707" s="219"/>
      <c r="BB707" s="218"/>
      <c r="BC707" s="219"/>
      <c r="BD707" s="219"/>
      <c r="BE707" s="187"/>
    </row>
    <row r="708" spans="2:57" x14ac:dyDescent="0.3">
      <c r="B708" s="223" t="s">
        <v>793</v>
      </c>
      <c r="C708" s="223" t="s">
        <v>795</v>
      </c>
      <c r="D708" s="223" t="s">
        <v>94</v>
      </c>
      <c r="E708" s="223">
        <v>2009</v>
      </c>
      <c r="F708" s="224"/>
      <c r="G708" s="225"/>
      <c r="H708" s="226">
        <f ca="1">IF(AND(E708&gt;=2018,SUMIF('DADOS BASE'!$C$101:$D$104,D708,'DADOS BASE'!$H$101:$H$104)&gt;J708),
SUMIF('DADOS BASE'!$C$101:$D$104,D708,'DADOS BASE'!$H$101:$H$104),
J708)</f>
        <v>6905678.1409523608</v>
      </c>
      <c r="I708" s="225"/>
      <c r="J708" s="226">
        <f t="shared" ref="J708:J717" si="485">N708+Q708+T708</f>
        <v>6905678.1409523608</v>
      </c>
      <c r="K708" s="226"/>
      <c r="L708" s="227">
        <v>7012.7193725427996</v>
      </c>
      <c r="M708" s="226">
        <f t="shared" ref="M708:M717" si="486">L708/$L$11</f>
        <v>5.470998658429314E-3</v>
      </c>
      <c r="N708" s="226">
        <f>L708*'DADOS BASE'!$I$29</f>
        <v>6905678.1409523608</v>
      </c>
      <c r="O708" s="228"/>
      <c r="P708" s="227">
        <v>0</v>
      </c>
      <c r="Q708" s="226">
        <f>P708*'DADOS BASE'!$I$33</f>
        <v>0</v>
      </c>
      <c r="R708" s="226"/>
      <c r="S708" s="227">
        <v>0</v>
      </c>
      <c r="T708" s="226">
        <f>S708*'DADOS BASE'!$I$37</f>
        <v>0</v>
      </c>
      <c r="U708" s="226"/>
      <c r="V708" s="226">
        <f t="shared" ref="V708:V717" si="487">T708+Q708</f>
        <v>0</v>
      </c>
      <c r="W708" s="228"/>
      <c r="X708" s="226"/>
      <c r="Y708" s="226"/>
      <c r="Z708" s="224"/>
      <c r="AA708" s="226"/>
      <c r="AB708" s="226"/>
      <c r="AC708" s="226"/>
      <c r="AD708" s="226"/>
      <c r="AE708" s="227">
        <v>5046</v>
      </c>
      <c r="AF708" s="227">
        <v>3097.8671387848999</v>
      </c>
      <c r="AG708" s="226" t="s">
        <v>155</v>
      </c>
      <c r="AH708" s="229">
        <v>0.77</v>
      </c>
      <c r="AI708" s="225">
        <f t="shared" ref="AI708:AI717" si="488">AF708*AH708</f>
        <v>2385.3576968643729</v>
      </c>
      <c r="AJ708" s="226">
        <f t="shared" ref="AJ708:AJ717" si="489">(AH708-$AI$12)*$AJ$12</f>
        <v>6.4301467588256223E-2</v>
      </c>
      <c r="AK708" s="226"/>
      <c r="AL708" s="226">
        <f t="shared" ref="AL708:AL717" si="490">$AL$11-(AJ708*$AL$11)</f>
        <v>168.12291971271827</v>
      </c>
      <c r="AM708" s="228">
        <f t="shared" ref="AM708:AM717" si="491">AF708*AL708</f>
        <v>520822.46825460199</v>
      </c>
      <c r="AN708" s="226"/>
      <c r="AO708" s="227">
        <v>1.9778911564626001</v>
      </c>
      <c r="AP708" s="225"/>
      <c r="AQ708" s="226">
        <f t="shared" ref="AQ708:AQ717" si="492">AF708*AO708</f>
        <v>6127.244017698752</v>
      </c>
      <c r="AR708" s="226">
        <f t="shared" ref="AR708:AR717" si="493">AQ708/$AQ$11</f>
        <v>6.5193241649471037E-3</v>
      </c>
      <c r="AS708" s="228">
        <f>AR708*'DADOS BASE'!W$38</f>
        <v>1955632.7519249904</v>
      </c>
      <c r="AT708" s="225"/>
      <c r="AU708" s="227">
        <v>0</v>
      </c>
      <c r="AV708" s="227">
        <v>0</v>
      </c>
      <c r="AW708" s="226">
        <f t="shared" ref="AW708:AW717" si="494">AU708/4</f>
        <v>0</v>
      </c>
      <c r="AX708" s="226">
        <f>IF($AW$11&gt;0,(AW708/$AW$11)*'DADOS BASE'!W$40,0)</f>
        <v>0</v>
      </c>
      <c r="AY708" s="226">
        <f t="shared" ref="AY708:AY717" si="495">AO708*AW708</f>
        <v>0</v>
      </c>
      <c r="AZ708" s="226">
        <f t="shared" ref="AZ708:AZ717" si="496">IF($AY$11&gt;0,AY708/$AY$11,0)</f>
        <v>0</v>
      </c>
      <c r="BA708" s="226">
        <f>AZ708*'DADOS BASE'!W$41</f>
        <v>0</v>
      </c>
      <c r="BB708" s="225"/>
      <c r="BC708" s="227">
        <v>0</v>
      </c>
      <c r="BD708" s="226">
        <f>IF($BC$11&gt;0,(BC708/$BC$11)*'DADOS BASE'!W$39,0)</f>
        <v>0</v>
      </c>
      <c r="BE708" s="187"/>
    </row>
    <row r="709" spans="2:57" x14ac:dyDescent="0.3">
      <c r="B709" s="184" t="s">
        <v>793</v>
      </c>
      <c r="C709" s="184" t="s">
        <v>796</v>
      </c>
      <c r="D709" s="184" t="s">
        <v>94</v>
      </c>
      <c r="E709" s="184">
        <v>2009</v>
      </c>
      <c r="F709" s="185"/>
      <c r="H709" s="186">
        <f ca="1">IF(AND(E709&gt;=2018,SUMIF('DADOS BASE'!$C$101:$D$104,D709,'DADOS BASE'!$H$101:$H$104)&gt;J709),
SUMIF('DADOS BASE'!$C$101:$D$104,D709,'DADOS BASE'!$H$101:$H$104),
J709)</f>
        <v>1721863.7963720448</v>
      </c>
      <c r="J709" s="186">
        <f t="shared" si="485"/>
        <v>1721863.7963720448</v>
      </c>
      <c r="K709" s="186"/>
      <c r="L709" s="188">
        <v>1748.5534881926999</v>
      </c>
      <c r="M709" s="186">
        <f t="shared" si="486"/>
        <v>1.3641403968836447E-3</v>
      </c>
      <c r="N709" s="186">
        <f>L709*'DADOS BASE'!$I$29</f>
        <v>1721863.7963720448</v>
      </c>
      <c r="O709" s="187"/>
      <c r="P709" s="188">
        <v>0</v>
      </c>
      <c r="Q709" s="186">
        <f>P709*'DADOS BASE'!$I$33</f>
        <v>0</v>
      </c>
      <c r="R709" s="186"/>
      <c r="S709" s="188">
        <v>0</v>
      </c>
      <c r="T709" s="186">
        <f>S709*'DADOS BASE'!$I$37</f>
        <v>0</v>
      </c>
      <c r="U709" s="186"/>
      <c r="V709" s="186">
        <f t="shared" si="487"/>
        <v>0</v>
      </c>
      <c r="W709" s="187"/>
      <c r="X709" s="186"/>
      <c r="Y709" s="186"/>
      <c r="Z709" s="185"/>
      <c r="AA709" s="186"/>
      <c r="AB709" s="186"/>
      <c r="AC709" s="186"/>
      <c r="AD709" s="186"/>
      <c r="AE709" s="188">
        <v>987</v>
      </c>
      <c r="AF709" s="188">
        <v>694.91883849444002</v>
      </c>
      <c r="AG709" s="186" t="s">
        <v>155</v>
      </c>
      <c r="AH709" s="189">
        <v>0.64700000000000002</v>
      </c>
      <c r="AI709" s="183">
        <f t="shared" si="488"/>
        <v>449.61248850590272</v>
      </c>
      <c r="AJ709" s="186">
        <f t="shared" si="489"/>
        <v>-0.10160020217055919</v>
      </c>
      <c r="AK709" s="186"/>
      <c r="AL709" s="186">
        <f t="shared" si="490"/>
        <v>197.93153022018214</v>
      </c>
      <c r="AM709" s="187">
        <f t="shared" si="491"/>
        <v>137546.34908203612</v>
      </c>
      <c r="AN709" s="186"/>
      <c r="AO709" s="188">
        <v>2.0282685512367</v>
      </c>
      <c r="AQ709" s="186">
        <f t="shared" si="492"/>
        <v>1409.4820257802082</v>
      </c>
      <c r="AR709" s="186">
        <f t="shared" si="493"/>
        <v>1.4996742751202899E-3</v>
      </c>
      <c r="AS709" s="187">
        <f>AR709*'DADOS BASE'!W$38</f>
        <v>449864.44230119116</v>
      </c>
      <c r="AU709" s="188">
        <v>0</v>
      </c>
      <c r="AV709" s="188">
        <v>0</v>
      </c>
      <c r="AW709" s="186">
        <f t="shared" si="494"/>
        <v>0</v>
      </c>
      <c r="AX709" s="186">
        <f>IF($AW$11&gt;0,(AW709/$AW$11)*'DADOS BASE'!W$40,0)</f>
        <v>0</v>
      </c>
      <c r="AY709" s="186">
        <f t="shared" si="495"/>
        <v>0</v>
      </c>
      <c r="AZ709" s="186">
        <f t="shared" si="496"/>
        <v>0</v>
      </c>
      <c r="BA709" s="186">
        <f>AZ709*'DADOS BASE'!W$41</f>
        <v>0</v>
      </c>
      <c r="BC709" s="188">
        <v>0</v>
      </c>
      <c r="BD709" s="186">
        <f>IF($BC$11&gt;0,(BC709/$BC$11)*'DADOS BASE'!W$39,0)</f>
        <v>0</v>
      </c>
      <c r="BE709" s="187"/>
    </row>
    <row r="710" spans="2:57" x14ac:dyDescent="0.3">
      <c r="B710" s="223" t="s">
        <v>793</v>
      </c>
      <c r="C710" s="223" t="s">
        <v>523</v>
      </c>
      <c r="D710" s="223" t="s">
        <v>94</v>
      </c>
      <c r="E710" s="223">
        <v>2009</v>
      </c>
      <c r="F710" s="224"/>
      <c r="G710" s="225"/>
      <c r="H710" s="226">
        <f ca="1">IF(AND(E710&gt;=2018,SUMIF('DADOS BASE'!$C$101:$D$104,D710,'DADOS BASE'!$H$101:$H$104)&gt;J710),
SUMIF('DADOS BASE'!$C$101:$D$104,D710,'DADOS BASE'!$H$101:$H$104),
J710)</f>
        <v>988487.34457206528</v>
      </c>
      <c r="I710" s="225"/>
      <c r="J710" s="226">
        <f t="shared" si="485"/>
        <v>988487.34457206528</v>
      </c>
      <c r="K710" s="226"/>
      <c r="L710" s="227">
        <v>1003.8093593858</v>
      </c>
      <c r="M710" s="226">
        <f t="shared" si="486"/>
        <v>7.8312554185769019E-4</v>
      </c>
      <c r="N710" s="226">
        <f>L710*'DADOS BASE'!$I$29</f>
        <v>988487.34457206528</v>
      </c>
      <c r="O710" s="228"/>
      <c r="P710" s="227">
        <v>0</v>
      </c>
      <c r="Q710" s="226">
        <f>P710*'DADOS BASE'!$I$33</f>
        <v>0</v>
      </c>
      <c r="R710" s="226"/>
      <c r="S710" s="227">
        <v>0</v>
      </c>
      <c r="T710" s="226">
        <f>S710*'DADOS BASE'!$I$37</f>
        <v>0</v>
      </c>
      <c r="U710" s="226"/>
      <c r="V710" s="226">
        <f t="shared" si="487"/>
        <v>0</v>
      </c>
      <c r="W710" s="228"/>
      <c r="X710" s="226"/>
      <c r="Y710" s="226"/>
      <c r="Z710" s="224"/>
      <c r="AA710" s="226"/>
      <c r="AB710" s="226"/>
      <c r="AC710" s="226"/>
      <c r="AD710" s="226"/>
      <c r="AE710" s="227">
        <v>944</v>
      </c>
      <c r="AF710" s="227">
        <v>601.01572733627995</v>
      </c>
      <c r="AG710" s="226" t="s">
        <v>155</v>
      </c>
      <c r="AH710" s="229">
        <v>0.64200000000000002</v>
      </c>
      <c r="AI710" s="225">
        <f t="shared" si="488"/>
        <v>385.85209694989175</v>
      </c>
      <c r="AJ710" s="226">
        <f t="shared" si="489"/>
        <v>-0.10834417248595819</v>
      </c>
      <c r="AK710" s="226"/>
      <c r="AL710" s="226">
        <f t="shared" si="490"/>
        <v>199.1432623546319</v>
      </c>
      <c r="AM710" s="228">
        <f t="shared" si="491"/>
        <v>119688.23266818871</v>
      </c>
      <c r="AN710" s="226"/>
      <c r="AO710" s="227">
        <v>1.7258064516128999</v>
      </c>
      <c r="AP710" s="225"/>
      <c r="AQ710" s="226">
        <f t="shared" si="492"/>
        <v>1037.2368197577714</v>
      </c>
      <c r="AR710" s="226">
        <f t="shared" si="493"/>
        <v>1.1036092318646388E-3</v>
      </c>
      <c r="AS710" s="228">
        <f>AR710*'DADOS BASE'!W$38</f>
        <v>331054.92295745964</v>
      </c>
      <c r="AT710" s="225"/>
      <c r="AU710" s="227">
        <v>0</v>
      </c>
      <c r="AV710" s="227">
        <v>0</v>
      </c>
      <c r="AW710" s="226">
        <f t="shared" si="494"/>
        <v>0</v>
      </c>
      <c r="AX710" s="226">
        <f>IF($AW$11&gt;0,(AW710/$AW$11)*'DADOS BASE'!W$40,0)</f>
        <v>0</v>
      </c>
      <c r="AY710" s="226">
        <f t="shared" si="495"/>
        <v>0</v>
      </c>
      <c r="AZ710" s="226">
        <f t="shared" si="496"/>
        <v>0</v>
      </c>
      <c r="BA710" s="226">
        <f>AZ710*'DADOS BASE'!W$41</f>
        <v>0</v>
      </c>
      <c r="BB710" s="225"/>
      <c r="BC710" s="227">
        <v>0</v>
      </c>
      <c r="BD710" s="226">
        <f>IF($BC$11&gt;0,(BC710/$BC$11)*'DADOS BASE'!W$39,0)</f>
        <v>0</v>
      </c>
      <c r="BE710" s="187"/>
    </row>
    <row r="711" spans="2:57" x14ac:dyDescent="0.3">
      <c r="B711" s="184" t="s">
        <v>793</v>
      </c>
      <c r="C711" s="184" t="s">
        <v>797</v>
      </c>
      <c r="D711" s="184" t="s">
        <v>94</v>
      </c>
      <c r="E711" s="184">
        <v>2009</v>
      </c>
      <c r="F711" s="185"/>
      <c r="H711" s="186">
        <f ca="1">IF(AND(E711&gt;=2018,SUMIF('DADOS BASE'!$C$101:$D$104,D711,'DADOS BASE'!$H$101:$H$104)&gt;J711),
SUMIF('DADOS BASE'!$C$101:$D$104,D711,'DADOS BASE'!$H$101:$H$104),
J711)</f>
        <v>2204129.4776318213</v>
      </c>
      <c r="J711" s="186">
        <f t="shared" si="485"/>
        <v>2204129.4776318213</v>
      </c>
      <c r="K711" s="186"/>
      <c r="L711" s="188">
        <v>2238.2945124125999</v>
      </c>
      <c r="M711" s="186">
        <f t="shared" si="486"/>
        <v>1.7462136475224102E-3</v>
      </c>
      <c r="N711" s="186">
        <f>L711*'DADOS BASE'!$I$29</f>
        <v>2204129.4776318213</v>
      </c>
      <c r="O711" s="187"/>
      <c r="P711" s="188">
        <v>0</v>
      </c>
      <c r="Q711" s="186">
        <f>P711*'DADOS BASE'!$I$33</f>
        <v>0</v>
      </c>
      <c r="R711" s="186"/>
      <c r="S711" s="188">
        <v>0</v>
      </c>
      <c r="T711" s="186">
        <f>S711*'DADOS BASE'!$I$37</f>
        <v>0</v>
      </c>
      <c r="U711" s="186"/>
      <c r="V711" s="186">
        <f t="shared" si="487"/>
        <v>0</v>
      </c>
      <c r="W711" s="187"/>
      <c r="X711" s="186"/>
      <c r="Y711" s="186"/>
      <c r="Z711" s="185"/>
      <c r="AA711" s="186"/>
      <c r="AB711" s="186"/>
      <c r="AC711" s="186"/>
      <c r="AD711" s="186"/>
      <c r="AE711" s="188">
        <v>1655</v>
      </c>
      <c r="AF711" s="188">
        <v>1005.5472140155</v>
      </c>
      <c r="AG711" s="186" t="s">
        <v>155</v>
      </c>
      <c r="AH711" s="189">
        <v>0.625</v>
      </c>
      <c r="AI711" s="183">
        <f t="shared" si="488"/>
        <v>628.46700875968747</v>
      </c>
      <c r="AJ711" s="186">
        <f t="shared" si="489"/>
        <v>-0.13127367155831482</v>
      </c>
      <c r="AK711" s="186"/>
      <c r="AL711" s="186">
        <f t="shared" si="490"/>
        <v>203.26315161176106</v>
      </c>
      <c r="AM711" s="187">
        <f t="shared" si="491"/>
        <v>204390.69581521652</v>
      </c>
      <c r="AN711" s="186"/>
      <c r="AO711" s="188">
        <v>1.9939024390244</v>
      </c>
      <c r="AQ711" s="186">
        <f t="shared" si="492"/>
        <v>2004.9630425796959</v>
      </c>
      <c r="AR711" s="186">
        <f t="shared" si="493"/>
        <v>2.1332599086244389E-3</v>
      </c>
      <c r="AS711" s="187">
        <f>AR711*'DADOS BASE'!W$38</f>
        <v>639924.14552809927</v>
      </c>
      <c r="AU711" s="188">
        <v>0</v>
      </c>
      <c r="AV711" s="188">
        <v>0</v>
      </c>
      <c r="AW711" s="186">
        <f t="shared" si="494"/>
        <v>0</v>
      </c>
      <c r="AX711" s="186">
        <f>IF($AW$11&gt;0,(AW711/$AW$11)*'DADOS BASE'!W$40,0)</f>
        <v>0</v>
      </c>
      <c r="AY711" s="186">
        <f t="shared" si="495"/>
        <v>0</v>
      </c>
      <c r="AZ711" s="186">
        <f t="shared" si="496"/>
        <v>0</v>
      </c>
      <c r="BA711" s="186">
        <f>AZ711*'DADOS BASE'!W$41</f>
        <v>0</v>
      </c>
      <c r="BC711" s="188">
        <v>0</v>
      </c>
      <c r="BD711" s="186">
        <f>IF($BC$11&gt;0,(BC711/$BC$11)*'DADOS BASE'!W$39,0)</f>
        <v>0</v>
      </c>
      <c r="BE711" s="187"/>
    </row>
    <row r="712" spans="2:57" x14ac:dyDescent="0.3">
      <c r="B712" s="223" t="s">
        <v>793</v>
      </c>
      <c r="C712" s="223" t="s">
        <v>798</v>
      </c>
      <c r="D712" s="223" t="s">
        <v>94</v>
      </c>
      <c r="E712" s="223">
        <v>2009</v>
      </c>
      <c r="F712" s="224"/>
      <c r="G712" s="225"/>
      <c r="H712" s="226">
        <f ca="1">IF(AND(E712&gt;=2018,SUMIF('DADOS BASE'!$C$101:$D$104,D712,'DADOS BASE'!$H$101:$H$104)&gt;J712),
SUMIF('DADOS BASE'!$C$101:$D$104,D712,'DADOS BASE'!$H$101:$H$104),
J712)</f>
        <v>525336.3245907689</v>
      </c>
      <c r="I712" s="225"/>
      <c r="J712" s="226">
        <f t="shared" si="485"/>
        <v>525336.3245907689</v>
      </c>
      <c r="K712" s="226"/>
      <c r="L712" s="227">
        <v>533.47928260816002</v>
      </c>
      <c r="M712" s="226">
        <f t="shared" si="486"/>
        <v>4.1619581283640811E-4</v>
      </c>
      <c r="N712" s="226">
        <f>L712*'DADOS BASE'!$I$29</f>
        <v>525336.3245907689</v>
      </c>
      <c r="O712" s="228"/>
      <c r="P712" s="227">
        <v>0</v>
      </c>
      <c r="Q712" s="226">
        <f>P712*'DADOS BASE'!$I$33</f>
        <v>0</v>
      </c>
      <c r="R712" s="226"/>
      <c r="S712" s="227">
        <v>0</v>
      </c>
      <c r="T712" s="226">
        <f>S712*'DADOS BASE'!$I$37</f>
        <v>0</v>
      </c>
      <c r="U712" s="226"/>
      <c r="V712" s="226">
        <f t="shared" si="487"/>
        <v>0</v>
      </c>
      <c r="W712" s="228"/>
      <c r="X712" s="226"/>
      <c r="Y712" s="226"/>
      <c r="Z712" s="224"/>
      <c r="AA712" s="226"/>
      <c r="AB712" s="226"/>
      <c r="AC712" s="226"/>
      <c r="AD712" s="226"/>
      <c r="AE712" s="227">
        <v>210</v>
      </c>
      <c r="AF712" s="227">
        <v>161.286936193</v>
      </c>
      <c r="AG712" s="226" t="s">
        <v>155</v>
      </c>
      <c r="AH712" s="229">
        <v>0.58699999999999997</v>
      </c>
      <c r="AI712" s="225">
        <f t="shared" si="488"/>
        <v>94.675431545290991</v>
      </c>
      <c r="AJ712" s="226">
        <f t="shared" si="489"/>
        <v>-0.18252784595534727</v>
      </c>
      <c r="AK712" s="226"/>
      <c r="AL712" s="226">
        <f t="shared" si="490"/>
        <v>212.47231583357916</v>
      </c>
      <c r="AM712" s="228">
        <f t="shared" si="491"/>
        <v>34269.008846629426</v>
      </c>
      <c r="AN712" s="226"/>
      <c r="AO712" s="227">
        <v>1.7962962962963001</v>
      </c>
      <c r="AP712" s="225"/>
      <c r="AQ712" s="226">
        <f t="shared" si="492"/>
        <v>289.71912612446357</v>
      </c>
      <c r="AR712" s="226">
        <f t="shared" si="493"/>
        <v>3.0825814910174766E-4</v>
      </c>
      <c r="AS712" s="228">
        <f>AR712*'DADOS BASE'!W$38</f>
        <v>92469.666667671539</v>
      </c>
      <c r="AT712" s="225"/>
      <c r="AU712" s="227">
        <v>0</v>
      </c>
      <c r="AV712" s="227">
        <v>0</v>
      </c>
      <c r="AW712" s="226">
        <f t="shared" si="494"/>
        <v>0</v>
      </c>
      <c r="AX712" s="226">
        <f>IF($AW$11&gt;0,(AW712/$AW$11)*'DADOS BASE'!W$40,0)</f>
        <v>0</v>
      </c>
      <c r="AY712" s="226">
        <f t="shared" si="495"/>
        <v>0</v>
      </c>
      <c r="AZ712" s="226">
        <f t="shared" si="496"/>
        <v>0</v>
      </c>
      <c r="BA712" s="226">
        <f>AZ712*'DADOS BASE'!W$41</f>
        <v>0</v>
      </c>
      <c r="BB712" s="225"/>
      <c r="BC712" s="227">
        <v>0</v>
      </c>
      <c r="BD712" s="226">
        <f>IF($BC$11&gt;0,(BC712/$BC$11)*'DADOS BASE'!W$39,0)</f>
        <v>0</v>
      </c>
      <c r="BE712" s="187"/>
    </row>
    <row r="713" spans="2:57" x14ac:dyDescent="0.3">
      <c r="B713" s="184" t="s">
        <v>793</v>
      </c>
      <c r="C713" s="184" t="s">
        <v>799</v>
      </c>
      <c r="D713" s="184" t="s">
        <v>94</v>
      </c>
      <c r="E713" s="184">
        <v>2014</v>
      </c>
      <c r="F713" s="185"/>
      <c r="H713" s="186">
        <f ca="1">IF(AND(E713&gt;=2018,SUMIF('DADOS BASE'!$C$101:$D$104,D713,'DADOS BASE'!$H$101:$H$104)&gt;J713),
SUMIF('DADOS BASE'!$C$101:$D$104,D713,'DADOS BASE'!$H$101:$H$104),
J713)</f>
        <v>299378.81606179645</v>
      </c>
      <c r="J713" s="186">
        <f t="shared" si="485"/>
        <v>299378.81606179645</v>
      </c>
      <c r="K713" s="186"/>
      <c r="L713" s="188">
        <v>304.01932732358</v>
      </c>
      <c r="M713" s="186">
        <f t="shared" si="486"/>
        <v>2.371817897684936E-4</v>
      </c>
      <c r="N713" s="186">
        <f>L713*'DADOS BASE'!$I$29</f>
        <v>299378.81606179645</v>
      </c>
      <c r="O713" s="187"/>
      <c r="P713" s="188">
        <v>0</v>
      </c>
      <c r="Q713" s="186">
        <f>P713*'DADOS BASE'!$I$33</f>
        <v>0</v>
      </c>
      <c r="R713" s="186"/>
      <c r="S713" s="188">
        <v>0</v>
      </c>
      <c r="T713" s="186">
        <f>S713*'DADOS BASE'!$I$37</f>
        <v>0</v>
      </c>
      <c r="U713" s="186"/>
      <c r="V713" s="186">
        <f t="shared" si="487"/>
        <v>0</v>
      </c>
      <c r="W713" s="187"/>
      <c r="X713" s="186"/>
      <c r="Y713" s="186"/>
      <c r="Z713" s="185"/>
      <c r="AA713" s="186"/>
      <c r="AB713" s="186"/>
      <c r="AC713" s="186"/>
      <c r="AD713" s="186"/>
      <c r="AE713" s="188">
        <v>382</v>
      </c>
      <c r="AF713" s="188">
        <v>202.67955154904999</v>
      </c>
      <c r="AG713" s="186" t="s">
        <v>155</v>
      </c>
      <c r="AH713" s="189">
        <v>0.66400000000000003</v>
      </c>
      <c r="AI713" s="183">
        <f t="shared" si="488"/>
        <v>134.57922222856919</v>
      </c>
      <c r="AJ713" s="186">
        <f t="shared" si="489"/>
        <v>-7.8670703098202566E-2</v>
      </c>
      <c r="AK713" s="186"/>
      <c r="AL713" s="186">
        <f t="shared" si="490"/>
        <v>193.81164096305298</v>
      </c>
      <c r="AM713" s="187">
        <f t="shared" si="491"/>
        <v>39281.656475377065</v>
      </c>
      <c r="AN713" s="186"/>
      <c r="AO713" s="188">
        <v>1.5495495495495</v>
      </c>
      <c r="AQ713" s="186">
        <f t="shared" si="492"/>
        <v>314.06200780572505</v>
      </c>
      <c r="AR713" s="186">
        <f t="shared" si="493"/>
        <v>3.3415872305158354E-4</v>
      </c>
      <c r="AS713" s="187">
        <f>AR713*'DADOS BASE'!W$38</f>
        <v>100239.18532150661</v>
      </c>
      <c r="AU713" s="188">
        <v>0</v>
      </c>
      <c r="AV713" s="188">
        <v>0</v>
      </c>
      <c r="AW713" s="186">
        <f t="shared" si="494"/>
        <v>0</v>
      </c>
      <c r="AX713" s="186">
        <f>IF($AW$11&gt;0,(AW713/$AW$11)*'DADOS BASE'!W$40,0)</f>
        <v>0</v>
      </c>
      <c r="AY713" s="186">
        <f t="shared" si="495"/>
        <v>0</v>
      </c>
      <c r="AZ713" s="186">
        <f t="shared" si="496"/>
        <v>0</v>
      </c>
      <c r="BA713" s="186">
        <f>AZ713*'DADOS BASE'!W$41</f>
        <v>0</v>
      </c>
      <c r="BC713" s="188">
        <v>0</v>
      </c>
      <c r="BD713" s="186">
        <f>IF($BC$11&gt;0,(BC713/$BC$11)*'DADOS BASE'!W$39,0)</f>
        <v>0</v>
      </c>
      <c r="BE713" s="187"/>
    </row>
    <row r="714" spans="2:57" x14ac:dyDescent="0.3">
      <c r="B714" s="223" t="s">
        <v>793</v>
      </c>
      <c r="C714" s="223" t="s">
        <v>800</v>
      </c>
      <c r="D714" s="223" t="s">
        <v>92</v>
      </c>
      <c r="E714" s="223">
        <v>2020</v>
      </c>
      <c r="F714" s="224"/>
      <c r="G714" s="225"/>
      <c r="H714" s="226">
        <f ca="1">IF(AND(E714&gt;=2018,SUMIF('DADOS BASE'!$C$101:$D$104,D714,'DADOS BASE'!$H$101:$H$104)&gt;J714),
SUMIF('DADOS BASE'!$C$101:$D$104,D714,'DADOS BASE'!$H$101:$H$104),
J714)</f>
        <v>700000</v>
      </c>
      <c r="I714" s="225"/>
      <c r="J714" s="226">
        <f t="shared" si="485"/>
        <v>0</v>
      </c>
      <c r="K714" s="226"/>
      <c r="L714" s="227">
        <v>0</v>
      </c>
      <c r="M714" s="226">
        <f t="shared" si="486"/>
        <v>0</v>
      </c>
      <c r="N714" s="226">
        <f>L714*'DADOS BASE'!$I$29</f>
        <v>0</v>
      </c>
      <c r="O714" s="228"/>
      <c r="P714" s="227">
        <v>0</v>
      </c>
      <c r="Q714" s="226">
        <f>P714*'DADOS BASE'!$I$33</f>
        <v>0</v>
      </c>
      <c r="R714" s="226"/>
      <c r="S714" s="227">
        <v>0</v>
      </c>
      <c r="T714" s="226">
        <f>S714*'DADOS BASE'!$I$37</f>
        <v>0</v>
      </c>
      <c r="U714" s="226"/>
      <c r="V714" s="226">
        <f t="shared" si="487"/>
        <v>0</v>
      </c>
      <c r="W714" s="228"/>
      <c r="X714" s="226"/>
      <c r="Y714" s="226"/>
      <c r="Z714" s="224"/>
      <c r="AA714" s="226"/>
      <c r="AB714" s="226"/>
      <c r="AC714" s="226"/>
      <c r="AD714" s="226"/>
      <c r="AE714" s="227">
        <v>0</v>
      </c>
      <c r="AF714" s="227">
        <v>0</v>
      </c>
      <c r="AG714" s="226" t="s">
        <v>155</v>
      </c>
      <c r="AH714" s="229">
        <v>0.52900000000000003</v>
      </c>
      <c r="AI714" s="225">
        <f t="shared" si="488"/>
        <v>0</v>
      </c>
      <c r="AJ714" s="226">
        <f t="shared" si="489"/>
        <v>-0.26075790161397561</v>
      </c>
      <c r="AK714" s="226"/>
      <c r="AL714" s="226">
        <f t="shared" si="490"/>
        <v>226.52840859319627</v>
      </c>
      <c r="AM714" s="228">
        <f t="shared" si="491"/>
        <v>0</v>
      </c>
      <c r="AN714" s="226"/>
      <c r="AO714" s="227">
        <v>0</v>
      </c>
      <c r="AP714" s="225"/>
      <c r="AQ714" s="226">
        <f t="shared" si="492"/>
        <v>0</v>
      </c>
      <c r="AR714" s="226">
        <f t="shared" si="493"/>
        <v>0</v>
      </c>
      <c r="AS714" s="228">
        <f>AR714*'DADOS BASE'!W$38</f>
        <v>0</v>
      </c>
      <c r="AT714" s="225"/>
      <c r="AU714" s="227">
        <v>0</v>
      </c>
      <c r="AV714" s="227">
        <v>0</v>
      </c>
      <c r="AW714" s="226">
        <f t="shared" si="494"/>
        <v>0</v>
      </c>
      <c r="AX714" s="226">
        <f>IF($AW$11&gt;0,(AW714/$AW$11)*'DADOS BASE'!W$40,0)</f>
        <v>0</v>
      </c>
      <c r="AY714" s="226">
        <f t="shared" si="495"/>
        <v>0</v>
      </c>
      <c r="AZ714" s="226">
        <f t="shared" si="496"/>
        <v>0</v>
      </c>
      <c r="BA714" s="226">
        <f>AZ714*'DADOS BASE'!W$41</f>
        <v>0</v>
      </c>
      <c r="BB714" s="225"/>
      <c r="BC714" s="227">
        <v>0</v>
      </c>
      <c r="BD714" s="226">
        <f>IF($BC$11&gt;0,(BC714/$BC$11)*'DADOS BASE'!W$39,0)</f>
        <v>0</v>
      </c>
      <c r="BE714" s="187"/>
    </row>
    <row r="715" spans="2:57" x14ac:dyDescent="0.3">
      <c r="B715" s="184" t="s">
        <v>793</v>
      </c>
      <c r="C715" s="184" t="s">
        <v>801</v>
      </c>
      <c r="D715" s="184" t="s">
        <v>94</v>
      </c>
      <c r="E715" s="184">
        <v>2009</v>
      </c>
      <c r="F715" s="185"/>
      <c r="H715" s="186">
        <f ca="1">IF(AND(E715&gt;=2018,SUMIF('DADOS BASE'!$C$101:$D$104,D715,'DADOS BASE'!$H$101:$H$104)&gt;J715),
SUMIF('DADOS BASE'!$C$101:$D$104,D715,'DADOS BASE'!$H$101:$H$104),
J715)</f>
        <v>157672.83924382104</v>
      </c>
      <c r="J715" s="186">
        <f t="shared" si="485"/>
        <v>157672.83924382104</v>
      </c>
      <c r="K715" s="186"/>
      <c r="L715" s="188">
        <v>160.11684178152001</v>
      </c>
      <c r="M715" s="186">
        <f t="shared" si="486"/>
        <v>1.2491573953585982E-4</v>
      </c>
      <c r="N715" s="186">
        <f>L715*'DADOS BASE'!$I$29</f>
        <v>157672.83924382104</v>
      </c>
      <c r="O715" s="187"/>
      <c r="P715" s="188">
        <v>0</v>
      </c>
      <c r="Q715" s="186">
        <f>P715*'DADOS BASE'!$I$33</f>
        <v>0</v>
      </c>
      <c r="R715" s="186"/>
      <c r="S715" s="188">
        <v>0</v>
      </c>
      <c r="T715" s="186">
        <f>S715*'DADOS BASE'!$I$37</f>
        <v>0</v>
      </c>
      <c r="U715" s="186"/>
      <c r="V715" s="186">
        <f t="shared" si="487"/>
        <v>0</v>
      </c>
      <c r="W715" s="187"/>
      <c r="X715" s="186"/>
      <c r="Y715" s="186"/>
      <c r="Z715" s="185"/>
      <c r="AA715" s="186"/>
      <c r="AB715" s="186"/>
      <c r="AC715" s="186"/>
      <c r="AD715" s="186"/>
      <c r="AE715" s="188">
        <v>226</v>
      </c>
      <c r="AF715" s="188">
        <v>135.6711709196</v>
      </c>
      <c r="AG715" s="186" t="s">
        <v>155</v>
      </c>
      <c r="AH715" s="189">
        <v>0.66100000000000003</v>
      </c>
      <c r="AI715" s="183">
        <f t="shared" si="488"/>
        <v>89.6786439778556</v>
      </c>
      <c r="AJ715" s="186">
        <f t="shared" si="489"/>
        <v>-8.2717085287441969E-2</v>
      </c>
      <c r="AK715" s="186"/>
      <c r="AL715" s="186">
        <f t="shared" si="490"/>
        <v>194.53868024372284</v>
      </c>
      <c r="AM715" s="187">
        <f t="shared" si="491"/>
        <v>26393.290537819532</v>
      </c>
      <c r="AN715" s="186"/>
      <c r="AO715" s="188">
        <v>2.0614035087719</v>
      </c>
      <c r="AQ715" s="186">
        <f t="shared" si="492"/>
        <v>279.67302777285562</v>
      </c>
      <c r="AR715" s="186">
        <f t="shared" si="493"/>
        <v>2.9756920451950281E-4</v>
      </c>
      <c r="AS715" s="187">
        <f>AR715*'DADOS BASE'!W$38</f>
        <v>89263.252999680728</v>
      </c>
      <c r="AU715" s="188">
        <v>0</v>
      </c>
      <c r="AV715" s="188">
        <v>0</v>
      </c>
      <c r="AW715" s="186">
        <f t="shared" si="494"/>
        <v>0</v>
      </c>
      <c r="AX715" s="186">
        <f>IF($AW$11&gt;0,(AW715/$AW$11)*'DADOS BASE'!W$40,0)</f>
        <v>0</v>
      </c>
      <c r="AY715" s="186">
        <f t="shared" si="495"/>
        <v>0</v>
      </c>
      <c r="AZ715" s="186">
        <f t="shared" si="496"/>
        <v>0</v>
      </c>
      <c r="BA715" s="186">
        <f>AZ715*'DADOS BASE'!W$41</f>
        <v>0</v>
      </c>
      <c r="BC715" s="188">
        <v>0</v>
      </c>
      <c r="BD715" s="186">
        <f>IF($BC$11&gt;0,(BC715/$BC$11)*'DADOS BASE'!W$39,0)</f>
        <v>0</v>
      </c>
      <c r="BE715" s="187"/>
    </row>
    <row r="716" spans="2:57" x14ac:dyDescent="0.3">
      <c r="B716" s="223" t="s">
        <v>793</v>
      </c>
      <c r="C716" s="223" t="s">
        <v>802</v>
      </c>
      <c r="D716" s="223" t="s">
        <v>92</v>
      </c>
      <c r="E716" s="223">
        <v>2016</v>
      </c>
      <c r="F716" s="224"/>
      <c r="G716" s="225"/>
      <c r="H716" s="226">
        <f ca="1">IF(AND(E716&gt;=2018,SUMIF('DADOS BASE'!$C$101:$D$104,D716,'DADOS BASE'!$H$101:$H$104)&gt;J716),
SUMIF('DADOS BASE'!$C$101:$D$104,D716,'DADOS BASE'!$H$101:$H$104),
J716)</f>
        <v>2970080.4685428147</v>
      </c>
      <c r="I716" s="225"/>
      <c r="J716" s="226">
        <f t="shared" si="485"/>
        <v>2970080.4685428147</v>
      </c>
      <c r="K716" s="226"/>
      <c r="L716" s="227">
        <v>3016.1181008776002</v>
      </c>
      <c r="M716" s="226">
        <f t="shared" si="486"/>
        <v>2.3530355639459193E-3</v>
      </c>
      <c r="N716" s="226">
        <f>L716*'DADOS BASE'!$I$29</f>
        <v>2970080.4685428147</v>
      </c>
      <c r="O716" s="228"/>
      <c r="P716" s="227">
        <v>0</v>
      </c>
      <c r="Q716" s="226">
        <f>P716*'DADOS BASE'!$I$33</f>
        <v>0</v>
      </c>
      <c r="R716" s="226"/>
      <c r="S716" s="227">
        <v>0</v>
      </c>
      <c r="T716" s="226">
        <f>S716*'DADOS BASE'!$I$37</f>
        <v>0</v>
      </c>
      <c r="U716" s="226"/>
      <c r="V716" s="226">
        <f t="shared" si="487"/>
        <v>0</v>
      </c>
      <c r="W716" s="228"/>
      <c r="X716" s="226"/>
      <c r="Y716" s="226"/>
      <c r="Z716" s="224"/>
      <c r="AA716" s="226"/>
      <c r="AB716" s="226"/>
      <c r="AC716" s="226"/>
      <c r="AD716" s="226"/>
      <c r="AE716" s="227">
        <v>1260</v>
      </c>
      <c r="AF716" s="227">
        <v>932.42539446554997</v>
      </c>
      <c r="AG716" s="226" t="s">
        <v>155</v>
      </c>
      <c r="AH716" s="229">
        <v>0.66200000000000003</v>
      </c>
      <c r="AI716" s="225">
        <f t="shared" si="488"/>
        <v>617.26561113619414</v>
      </c>
      <c r="AJ716" s="226">
        <f t="shared" si="489"/>
        <v>-8.1368291224362163E-2</v>
      </c>
      <c r="AK716" s="226"/>
      <c r="AL716" s="226">
        <f t="shared" si="490"/>
        <v>194.29633381683288</v>
      </c>
      <c r="AM716" s="228">
        <f t="shared" si="491"/>
        <v>181166.83570237059</v>
      </c>
      <c r="AN716" s="226"/>
      <c r="AO716" s="227">
        <v>1.8084112149533</v>
      </c>
      <c r="AP716" s="225"/>
      <c r="AQ716" s="226">
        <f t="shared" si="492"/>
        <v>1686.2085404587554</v>
      </c>
      <c r="AR716" s="226">
        <f t="shared" si="493"/>
        <v>1.7941084202293021E-3</v>
      </c>
      <c r="AS716" s="228">
        <f>AR716*'DADOS BASE'!W$38</f>
        <v>538187.25658249191</v>
      </c>
      <c r="AT716" s="225"/>
      <c r="AU716" s="227">
        <v>0</v>
      </c>
      <c r="AV716" s="227">
        <v>0</v>
      </c>
      <c r="AW716" s="226">
        <f t="shared" si="494"/>
        <v>0</v>
      </c>
      <c r="AX716" s="226">
        <f>IF($AW$11&gt;0,(AW716/$AW$11)*'DADOS BASE'!W$40,0)</f>
        <v>0</v>
      </c>
      <c r="AY716" s="226">
        <f t="shared" si="495"/>
        <v>0</v>
      </c>
      <c r="AZ716" s="226">
        <f t="shared" si="496"/>
        <v>0</v>
      </c>
      <c r="BA716" s="226">
        <f>AZ716*'DADOS BASE'!W$41</f>
        <v>0</v>
      </c>
      <c r="BB716" s="225"/>
      <c r="BC716" s="227">
        <v>87</v>
      </c>
      <c r="BD716" s="226">
        <f>IF($BC$11&gt;0,(BC716/$BC$11)*'DADOS BASE'!W$39,0)</f>
        <v>470078.74908871698</v>
      </c>
      <c r="BE716" s="187"/>
    </row>
    <row r="717" spans="2:57" x14ac:dyDescent="0.3">
      <c r="B717" s="184" t="s">
        <v>793</v>
      </c>
      <c r="C717" s="184" t="s">
        <v>803</v>
      </c>
      <c r="D717" s="184" t="s">
        <v>94</v>
      </c>
      <c r="E717" s="184">
        <v>2014</v>
      </c>
      <c r="F717" s="185"/>
      <c r="H717" s="186">
        <f ca="1">IF(AND(E717&gt;=2018,SUMIF('DADOS BASE'!$C$101:$D$104,D717,'DADOS BASE'!$H$101:$H$104)&gt;J717),
SUMIF('DADOS BASE'!$C$101:$D$104,D717,'DADOS BASE'!$H$101:$H$104),
J717)</f>
        <v>230044.2320948813</v>
      </c>
      <c r="J717" s="186">
        <f t="shared" si="485"/>
        <v>230044.2320948813</v>
      </c>
      <c r="K717" s="186"/>
      <c r="L717" s="188">
        <v>233.61002497157</v>
      </c>
      <c r="M717" s="186">
        <f t="shared" si="486"/>
        <v>1.822517151077255E-4</v>
      </c>
      <c r="N717" s="186">
        <f>L717*'DADOS BASE'!$I$29</f>
        <v>230044.2320948813</v>
      </c>
      <c r="O717" s="187"/>
      <c r="P717" s="188">
        <v>0</v>
      </c>
      <c r="Q717" s="186">
        <f>P717*'DADOS BASE'!$I$33</f>
        <v>0</v>
      </c>
      <c r="R717" s="186"/>
      <c r="S717" s="188">
        <v>0</v>
      </c>
      <c r="T717" s="186">
        <f>S717*'DADOS BASE'!$I$37</f>
        <v>0</v>
      </c>
      <c r="U717" s="186"/>
      <c r="V717" s="186">
        <f t="shared" si="487"/>
        <v>0</v>
      </c>
      <c r="W717" s="187"/>
      <c r="X717" s="186"/>
      <c r="Y717" s="186"/>
      <c r="Z717" s="185"/>
      <c r="AA717" s="186"/>
      <c r="AB717" s="186"/>
      <c r="AC717" s="186"/>
      <c r="AD717" s="186"/>
      <c r="AE717" s="188">
        <v>305</v>
      </c>
      <c r="AF717" s="188">
        <v>154.26541195006001</v>
      </c>
      <c r="AG717" s="186" t="s">
        <v>155</v>
      </c>
      <c r="AH717" s="189">
        <v>0.55700000000000005</v>
      </c>
      <c r="AI717" s="183">
        <f t="shared" si="488"/>
        <v>85.925834456183438</v>
      </c>
      <c r="AJ717" s="186">
        <f t="shared" si="489"/>
        <v>-0.22299166784774116</v>
      </c>
      <c r="AK717" s="186"/>
      <c r="AL717" s="186">
        <f t="shared" si="490"/>
        <v>219.74270864027767</v>
      </c>
      <c r="AM717" s="187">
        <f t="shared" si="491"/>
        <v>33898.699471414446</v>
      </c>
      <c r="AN717" s="186"/>
      <c r="AO717" s="188">
        <v>2.2302158273381001</v>
      </c>
      <c r="AQ717" s="186">
        <f t="shared" si="492"/>
        <v>344.04516334185593</v>
      </c>
      <c r="AR717" s="186">
        <f t="shared" si="493"/>
        <v>3.6606048995746227E-4</v>
      </c>
      <c r="AS717" s="187">
        <f>AR717*'DADOS BASE'!W$38</f>
        <v>109808.91043823876</v>
      </c>
      <c r="AU717" s="188">
        <v>0</v>
      </c>
      <c r="AV717" s="188">
        <v>0</v>
      </c>
      <c r="AW717" s="186">
        <f t="shared" si="494"/>
        <v>0</v>
      </c>
      <c r="AX717" s="186">
        <f>IF($AW$11&gt;0,(AW717/$AW$11)*'DADOS BASE'!W$40,0)</f>
        <v>0</v>
      </c>
      <c r="AY717" s="186">
        <f t="shared" si="495"/>
        <v>0</v>
      </c>
      <c r="AZ717" s="186">
        <f t="shared" si="496"/>
        <v>0</v>
      </c>
      <c r="BA717" s="186">
        <f>AZ717*'DADOS BASE'!W$41</f>
        <v>0</v>
      </c>
      <c r="BC717" s="188">
        <v>0</v>
      </c>
      <c r="BD717" s="186">
        <f>IF($BC$11&gt;0,(BC717/$BC$11)*'DADOS BASE'!W$39,0)</f>
        <v>0</v>
      </c>
      <c r="BE717" s="187"/>
    </row>
    <row r="718" spans="2:57" x14ac:dyDescent="0.3">
      <c r="F718" s="185"/>
      <c r="H718" s="186"/>
      <c r="J718" s="186"/>
      <c r="K718" s="186"/>
      <c r="L718" s="186"/>
      <c r="M718" s="186"/>
      <c r="N718" s="186"/>
      <c r="O718" s="187"/>
      <c r="P718" s="186"/>
      <c r="Q718" s="186"/>
      <c r="R718" s="186"/>
      <c r="S718" s="186"/>
      <c r="T718" s="186"/>
      <c r="U718" s="186"/>
      <c r="V718" s="186"/>
      <c r="W718" s="187"/>
      <c r="X718" s="186"/>
      <c r="Y718" s="186"/>
      <c r="Z718" s="185"/>
      <c r="AA718" s="186"/>
      <c r="AB718" s="186"/>
      <c r="AC718" s="186"/>
      <c r="AD718" s="186"/>
      <c r="AE718" s="186"/>
      <c r="AF718" s="186"/>
      <c r="AG718" s="186"/>
      <c r="AH718" s="185"/>
      <c r="AJ718" s="186"/>
      <c r="AK718" s="186"/>
      <c r="AL718" s="186"/>
      <c r="AM718" s="187"/>
      <c r="AN718" s="186"/>
      <c r="AO718" s="186"/>
      <c r="AQ718" s="186"/>
      <c r="AR718" s="186"/>
      <c r="AS718" s="187"/>
      <c r="AU718" s="186"/>
      <c r="AV718" s="186"/>
      <c r="AW718" s="186"/>
      <c r="AX718" s="186"/>
      <c r="AY718" s="186"/>
      <c r="AZ718" s="186"/>
      <c r="BA718" s="186"/>
      <c r="BC718" s="186"/>
      <c r="BD718" s="186"/>
      <c r="BE718" s="187"/>
    </row>
    <row r="719" spans="2:57" x14ac:dyDescent="0.3">
      <c r="B719" s="209" t="s">
        <v>804</v>
      </c>
      <c r="C719" s="209" t="s">
        <v>805</v>
      </c>
      <c r="D719" s="211" t="s">
        <v>154</v>
      </c>
      <c r="E719" s="211"/>
      <c r="F719" s="210"/>
      <c r="G719" s="211"/>
      <c r="H719" s="212">
        <f ca="1">SUM(H720:H758)</f>
        <v>81452713.045960873</v>
      </c>
      <c r="I719" s="211"/>
      <c r="J719" s="212">
        <f>SUM(J720:J758)</f>
        <v>80757328.996573761</v>
      </c>
      <c r="K719" s="212"/>
      <c r="L719" s="212">
        <f>SUM(L720:L758)</f>
        <v>81053.546202411642</v>
      </c>
      <c r="M719" s="212">
        <f>SUM(M720:M758)</f>
        <v>6.3234220418197151E-2</v>
      </c>
      <c r="N719" s="212">
        <f>SUM(N720:N758)</f>
        <v>79816355.470917583</v>
      </c>
      <c r="O719" s="214"/>
      <c r="P719" s="212">
        <f>SUM(P720:P758)</f>
        <v>1221.5743035947069</v>
      </c>
      <c r="Q719" s="212">
        <f>SUM(Q720:Q758)</f>
        <v>300732.08828632568</v>
      </c>
      <c r="R719" s="212"/>
      <c r="S719" s="212">
        <f>SUM(S720:S758)</f>
        <v>812.70684777544022</v>
      </c>
      <c r="T719" s="212">
        <f>SUM(T720:T758)</f>
        <v>640241.43736983987</v>
      </c>
      <c r="U719" s="212"/>
      <c r="V719" s="212">
        <f>SUM(V720:V758)</f>
        <v>940973.52565616556</v>
      </c>
      <c r="W719" s="214"/>
      <c r="X719" s="212">
        <f>SUMIF(INDICADORES!$D$13:$D$53,C719,INDICADORES!$L$13:$L$53)</f>
        <v>2.803480436342231E-2</v>
      </c>
      <c r="Y719" s="212">
        <f>X719*'DADOS BASE'!$I$79</f>
        <v>1164095.2520426777</v>
      </c>
      <c r="Z719" s="210">
        <f>SUMIF(INDICADORES!$D$13:$D$53,C719,INDICADORES!$R$13:$R$53)</f>
        <v>3.2594991116969445E-2</v>
      </c>
      <c r="AA719" s="212">
        <f>Z719*'DADOS BASE'!$I$84</f>
        <v>1353448.8740411338</v>
      </c>
      <c r="AB719" s="212">
        <f>SUMIF(INDICADORES!$D$13:$D$53,C719,INDICADORES!$Z$13:$Z$53)</f>
        <v>6.2977393983281102E-3</v>
      </c>
      <c r="AC719" s="212">
        <f>AB719*'DADOS BASE'!$I$89</f>
        <v>523004.79341036652</v>
      </c>
      <c r="AD719" s="212"/>
      <c r="AE719" s="212">
        <f>SUM(AE720:AE758)</f>
        <v>51630</v>
      </c>
      <c r="AF719" s="212">
        <f>SUM(AF720:AF758)</f>
        <v>37456.345750192915</v>
      </c>
      <c r="AG719" s="212" t="s">
        <v>155</v>
      </c>
      <c r="AH719" s="210"/>
      <c r="AI719" s="211"/>
      <c r="AJ719" s="212"/>
      <c r="AK719" s="212"/>
      <c r="AL719" s="212"/>
      <c r="AM719" s="214">
        <f>SUM(AM720:AM758)</f>
        <v>6208425.3121548118</v>
      </c>
      <c r="AN719" s="212"/>
      <c r="AO719" s="212"/>
      <c r="AP719" s="211"/>
      <c r="AQ719" s="212">
        <f>SUM(AQ720:AQ758)</f>
        <v>62609.591567579271</v>
      </c>
      <c r="AR719" s="212"/>
      <c r="AS719" s="214">
        <f>SUM(AS720:AS758)</f>
        <v>19983106.18942688</v>
      </c>
      <c r="AT719" s="211"/>
      <c r="AU719" s="212">
        <f t="shared" ref="AU719:BA719" si="497">SUM(AU720:AU758)</f>
        <v>612.96474556499822</v>
      </c>
      <c r="AV719" s="212">
        <f t="shared" si="497"/>
        <v>2025.5</v>
      </c>
      <c r="AW719" s="212">
        <f t="shared" si="497"/>
        <v>153.24118639124956</v>
      </c>
      <c r="AX719" s="212">
        <f t="shared" si="497"/>
        <v>27533.820759484592</v>
      </c>
      <c r="AY719" s="212">
        <f t="shared" si="497"/>
        <v>244.40933518678492</v>
      </c>
      <c r="AZ719" s="212">
        <f t="shared" si="497"/>
        <v>1.2782685335986111E-2</v>
      </c>
      <c r="BA719" s="212">
        <f t="shared" si="497"/>
        <v>94436.610050578718</v>
      </c>
      <c r="BB719" s="211"/>
      <c r="BC719" s="212">
        <f>SUM(BC720:BC758)</f>
        <v>0</v>
      </c>
      <c r="BD719" s="212">
        <f>SUM(BD720:BD758)</f>
        <v>0</v>
      </c>
      <c r="BE719" s="187"/>
    </row>
    <row r="720" spans="2:57" x14ac:dyDescent="0.3">
      <c r="B720" s="216" t="s">
        <v>804</v>
      </c>
      <c r="C720" s="218" t="s">
        <v>156</v>
      </c>
      <c r="D720" s="218" t="s">
        <v>157</v>
      </c>
      <c r="E720" s="218"/>
      <c r="F720" s="217"/>
      <c r="G720" s="218"/>
      <c r="H720" s="219"/>
      <c r="I720" s="218"/>
      <c r="J720" s="219"/>
      <c r="K720" s="219"/>
      <c r="L720" s="219">
        <v>0</v>
      </c>
      <c r="M720" s="219">
        <v>0</v>
      </c>
      <c r="N720" s="219">
        <v>0</v>
      </c>
      <c r="O720" s="221"/>
      <c r="P720" s="219"/>
      <c r="Q720" s="219"/>
      <c r="R720" s="219"/>
      <c r="S720" s="219"/>
      <c r="T720" s="219"/>
      <c r="U720" s="219"/>
      <c r="V720" s="219"/>
      <c r="W720" s="221"/>
      <c r="X720" s="219"/>
      <c r="Y720" s="219"/>
      <c r="Z720" s="217"/>
      <c r="AA720" s="219"/>
      <c r="AB720" s="219"/>
      <c r="AC720" s="219"/>
      <c r="AD720" s="219"/>
      <c r="AE720" s="219"/>
      <c r="AF720" s="219"/>
      <c r="AG720" s="219" t="s">
        <v>155</v>
      </c>
      <c r="AH720" s="217"/>
      <c r="AI720" s="218"/>
      <c r="AJ720" s="219"/>
      <c r="AK720" s="219"/>
      <c r="AL720" s="219"/>
      <c r="AM720" s="221"/>
      <c r="AN720" s="219"/>
      <c r="AO720" s="219"/>
      <c r="AP720" s="218"/>
      <c r="AQ720" s="219"/>
      <c r="AR720" s="219"/>
      <c r="AS720" s="221"/>
      <c r="AT720" s="218"/>
      <c r="AU720" s="219"/>
      <c r="AV720" s="219"/>
      <c r="AW720" s="219"/>
      <c r="AX720" s="219"/>
      <c r="AY720" s="219"/>
      <c r="AZ720" s="219"/>
      <c r="BA720" s="219"/>
      <c r="BB720" s="218"/>
      <c r="BC720" s="219"/>
      <c r="BD720" s="219"/>
      <c r="BE720" s="187"/>
    </row>
    <row r="721" spans="1:58" x14ac:dyDescent="0.3">
      <c r="B721" s="184" t="s">
        <v>804</v>
      </c>
      <c r="C721" s="184" t="s">
        <v>806</v>
      </c>
      <c r="D721" s="184" t="s">
        <v>94</v>
      </c>
      <c r="E721" s="184">
        <v>2010</v>
      </c>
      <c r="F721" s="185"/>
      <c r="H721" s="186">
        <f ca="1">IF(AND(E721&gt;=2018,SUMIF('DADOS BASE'!$C$101:$D$104,D721,'DADOS BASE'!$H$101:$H$104)&gt;J721),
SUMIF('DADOS BASE'!$C$101:$D$104,D721,'DADOS BASE'!$H$101:$H$104),
J721)</f>
        <v>1881018.8017646442</v>
      </c>
      <c r="J721" s="186">
        <f t="shared" ref="J721:J758" si="498">N721+Q721+T721</f>
        <v>1881018.8017646442</v>
      </c>
      <c r="K721" s="186"/>
      <c r="L721" s="188">
        <v>1908.7354703895001</v>
      </c>
      <c r="M721" s="186">
        <f t="shared" ref="M721:M758" si="499">L721/$L$11</f>
        <v>1.4891069559526519E-3</v>
      </c>
      <c r="N721" s="186">
        <f>L721*'DADOS BASE'!$I$29</f>
        <v>1879600.7817363644</v>
      </c>
      <c r="O721" s="187"/>
      <c r="P721" s="188">
        <v>0</v>
      </c>
      <c r="Q721" s="186">
        <f>P721*'DADOS BASE'!$I$33</f>
        <v>0</v>
      </c>
      <c r="R721" s="186"/>
      <c r="S721" s="188">
        <v>1.8</v>
      </c>
      <c r="T721" s="186">
        <f>S721*'DADOS BASE'!$I$37</f>
        <v>1418.0200282797939</v>
      </c>
      <c r="U721" s="186"/>
      <c r="V721" s="186">
        <f t="shared" ref="V721:V758" si="500">T721+Q721</f>
        <v>1418.0200282797939</v>
      </c>
      <c r="W721" s="187"/>
      <c r="X721" s="186"/>
      <c r="Y721" s="186"/>
      <c r="Z721" s="185"/>
      <c r="AA721" s="186"/>
      <c r="AB721" s="186"/>
      <c r="AC721" s="186"/>
      <c r="AD721" s="186"/>
      <c r="AE721" s="188">
        <v>1297</v>
      </c>
      <c r="AF721" s="188">
        <v>917.42426650099003</v>
      </c>
      <c r="AG721" s="186" t="s">
        <v>155</v>
      </c>
      <c r="AH721" s="189">
        <v>0.81499999999999995</v>
      </c>
      <c r="AI721" s="183">
        <f t="shared" ref="AI721:AI758" si="501">AF721*AH721</f>
        <v>747.70077719830681</v>
      </c>
      <c r="AJ721" s="186">
        <f t="shared" ref="AJ721:AJ758" si="502">(AH721-$AI$12)*$AJ$12</f>
        <v>0.12499720042684713</v>
      </c>
      <c r="AK721" s="186"/>
      <c r="AL721" s="186">
        <f t="shared" ref="AL721:AL758" si="503">$AL$11-(AJ721*$AL$11)</f>
        <v>157.21733050267053</v>
      </c>
      <c r="AM721" s="187">
        <f t="shared" ref="AM721:AM758" si="504">AF721*AL721</f>
        <v>144234.99411765623</v>
      </c>
      <c r="AN721" s="186"/>
      <c r="AO721" s="188">
        <v>1.8481953290869999</v>
      </c>
      <c r="AQ721" s="186">
        <f t="shared" ref="AQ721:AQ758" si="505">AF721*AO721</f>
        <v>1695.5792441381968</v>
      </c>
      <c r="AR721" s="186">
        <f t="shared" ref="AR721:AR758" si="506">AQ721/$AQ$11</f>
        <v>1.8040787518765287E-3</v>
      </c>
      <c r="AS721" s="187">
        <f>AR721*'DADOS BASE'!W$38</f>
        <v>541178.10450223624</v>
      </c>
      <c r="AU721" s="188">
        <v>1.8</v>
      </c>
      <c r="AV721" s="188">
        <v>8</v>
      </c>
      <c r="AW721" s="186">
        <f t="shared" ref="AW721:AW758" si="507">AU721/4</f>
        <v>0.45</v>
      </c>
      <c r="AX721" s="186">
        <f>IF($AW$11&gt;0,(AW721/$AW$11)*'DADOS BASE'!W$40,0)</f>
        <v>80.854368421122985</v>
      </c>
      <c r="AY721" s="186">
        <f t="shared" ref="AY721:AY758" si="508">AO721*AW721</f>
        <v>0.83168789808915</v>
      </c>
      <c r="AZ721" s="186">
        <f t="shared" ref="AZ721:AZ758" si="509">IF($AY$11&gt;0,AY721/$AY$11,0)</f>
        <v>4.3497539449123752E-5</v>
      </c>
      <c r="BA721" s="186">
        <f>AZ721*'DADOS BASE'!W$41</f>
        <v>321.35346080625987</v>
      </c>
      <c r="BC721" s="188">
        <v>0</v>
      </c>
      <c r="BD721" s="186">
        <f>IF($BC$11&gt;0,(BC721/$BC$11)*'DADOS BASE'!W$39,0)</f>
        <v>0</v>
      </c>
      <c r="BE721" s="187"/>
    </row>
    <row r="722" spans="1:58" x14ac:dyDescent="0.3">
      <c r="B722" s="223" t="s">
        <v>804</v>
      </c>
      <c r="C722" s="223" t="s">
        <v>807</v>
      </c>
      <c r="D722" s="223" t="s">
        <v>98</v>
      </c>
      <c r="E722" s="223">
        <v>2015</v>
      </c>
      <c r="F722" s="224"/>
      <c r="G722" s="225"/>
      <c r="H722" s="226">
        <f ca="1">IF(AND(E722&gt;=2018,SUMIF('DADOS BASE'!$C$101:$D$104,D722,'DADOS BASE'!$H$101:$H$104)&gt;J722),
SUMIF('DADOS BASE'!$C$101:$D$104,D722,'DADOS BASE'!$H$101:$H$104),
J722)</f>
        <v>536045.33845895238</v>
      </c>
      <c r="I722" s="225"/>
      <c r="J722" s="226">
        <f t="shared" si="498"/>
        <v>536045.33845895238</v>
      </c>
      <c r="K722" s="226"/>
      <c r="L722" s="227">
        <v>544.35429118536001</v>
      </c>
      <c r="M722" s="226">
        <f t="shared" si="499"/>
        <v>4.2467999053917202E-4</v>
      </c>
      <c r="N722" s="226">
        <f>L722*'DADOS BASE'!$I$29</f>
        <v>536045.33845895238</v>
      </c>
      <c r="O722" s="228"/>
      <c r="P722" s="227">
        <v>0</v>
      </c>
      <c r="Q722" s="226">
        <f>P722*'DADOS BASE'!$I$33</f>
        <v>0</v>
      </c>
      <c r="R722" s="226"/>
      <c r="S722" s="227">
        <v>0</v>
      </c>
      <c r="T722" s="226">
        <f>S722*'DADOS BASE'!$I$37</f>
        <v>0</v>
      </c>
      <c r="U722" s="226"/>
      <c r="V722" s="226">
        <f t="shared" si="500"/>
        <v>0</v>
      </c>
      <c r="W722" s="228"/>
      <c r="X722" s="226"/>
      <c r="Y722" s="226"/>
      <c r="Z722" s="224"/>
      <c r="AA722" s="226"/>
      <c r="AB722" s="226"/>
      <c r="AC722" s="226"/>
      <c r="AD722" s="226"/>
      <c r="AE722" s="227">
        <v>231</v>
      </c>
      <c r="AF722" s="227">
        <v>244.0967066826</v>
      </c>
      <c r="AG722" s="226" t="s">
        <v>155</v>
      </c>
      <c r="AH722" s="229">
        <v>0.81200000000000006</v>
      </c>
      <c r="AI722" s="225">
        <f t="shared" si="501"/>
        <v>198.20652582627122</v>
      </c>
      <c r="AJ722" s="226">
        <f t="shared" si="502"/>
        <v>0.12095081823760788</v>
      </c>
      <c r="AK722" s="226"/>
      <c r="AL722" s="226">
        <f t="shared" si="503"/>
        <v>157.94436978334036</v>
      </c>
      <c r="AM722" s="228">
        <f t="shared" si="504"/>
        <v>38553.700503172142</v>
      </c>
      <c r="AN722" s="226"/>
      <c r="AO722" s="227">
        <v>1.8255208333333</v>
      </c>
      <c r="AP722" s="225"/>
      <c r="AQ722" s="226">
        <f t="shared" si="505"/>
        <v>445.60362339713402</v>
      </c>
      <c r="AR722" s="226">
        <f t="shared" si="506"/>
        <v>4.7411763944925876E-4</v>
      </c>
      <c r="AS722" s="228">
        <f>AR722*'DADOS BASE'!W$38</f>
        <v>142223.32875509918</v>
      </c>
      <c r="AT722" s="225"/>
      <c r="AU722" s="227">
        <v>0</v>
      </c>
      <c r="AV722" s="227">
        <v>0</v>
      </c>
      <c r="AW722" s="226">
        <f t="shared" si="507"/>
        <v>0</v>
      </c>
      <c r="AX722" s="226">
        <f>IF($AW$11&gt;0,(AW722/$AW$11)*'DADOS BASE'!W$40,0)</f>
        <v>0</v>
      </c>
      <c r="AY722" s="226">
        <f t="shared" si="508"/>
        <v>0</v>
      </c>
      <c r="AZ722" s="226">
        <f t="shared" si="509"/>
        <v>0</v>
      </c>
      <c r="BA722" s="226">
        <f>AZ722*'DADOS BASE'!W$41</f>
        <v>0</v>
      </c>
      <c r="BB722" s="225"/>
      <c r="BC722" s="227">
        <v>0</v>
      </c>
      <c r="BD722" s="226">
        <f>IF($BC$11&gt;0,(BC722/$BC$11)*'DADOS BASE'!W$39,0)</f>
        <v>0</v>
      </c>
      <c r="BE722" s="187"/>
    </row>
    <row r="723" spans="1:58" x14ac:dyDescent="0.3">
      <c r="B723" s="184" t="s">
        <v>804</v>
      </c>
      <c r="C723" s="184" t="s">
        <v>808</v>
      </c>
      <c r="D723" s="184" t="s">
        <v>98</v>
      </c>
      <c r="E723" s="184">
        <v>2016</v>
      </c>
      <c r="F723" s="185"/>
      <c r="H723" s="186">
        <f ca="1">IF(AND(E723&gt;=2018,SUMIF('DADOS BASE'!$C$101:$D$104,D723,'DADOS BASE'!$H$101:$H$104)&gt;J723),
SUMIF('DADOS BASE'!$C$101:$D$104,D723,'DADOS BASE'!$H$101:$H$104),
J723)</f>
        <v>441790.75128407718</v>
      </c>
      <c r="J723" s="186">
        <f t="shared" si="498"/>
        <v>441790.75128407718</v>
      </c>
      <c r="K723" s="186"/>
      <c r="L723" s="188">
        <v>448.06871395443</v>
      </c>
      <c r="M723" s="186">
        <f t="shared" si="499"/>
        <v>3.4956244542264737E-4</v>
      </c>
      <c r="N723" s="186">
        <f>L723*'DADOS BASE'!$I$29</f>
        <v>441229.45168954978</v>
      </c>
      <c r="O723" s="187"/>
      <c r="P723" s="188">
        <v>0</v>
      </c>
      <c r="Q723" s="186">
        <f>P723*'DADOS BASE'!$I$33</f>
        <v>0</v>
      </c>
      <c r="R723" s="186"/>
      <c r="S723" s="188">
        <v>0.71250000000000002</v>
      </c>
      <c r="T723" s="186">
        <f>S723*'DADOS BASE'!$I$37</f>
        <v>561.29959452741844</v>
      </c>
      <c r="U723" s="186"/>
      <c r="V723" s="186">
        <f t="shared" si="500"/>
        <v>561.29959452741844</v>
      </c>
      <c r="W723" s="187"/>
      <c r="X723" s="186"/>
      <c r="Y723" s="186"/>
      <c r="Z723" s="185"/>
      <c r="AA723" s="186"/>
      <c r="AB723" s="186"/>
      <c r="AC723" s="186"/>
      <c r="AD723" s="186"/>
      <c r="AE723" s="188">
        <v>361</v>
      </c>
      <c r="AF723" s="188">
        <v>265.90081450474997</v>
      </c>
      <c r="AG723" s="186" t="s">
        <v>155</v>
      </c>
      <c r="AH723" s="189">
        <v>0.82199999999999995</v>
      </c>
      <c r="AI723" s="183">
        <f t="shared" si="501"/>
        <v>218.57046952290446</v>
      </c>
      <c r="AJ723" s="186">
        <f t="shared" si="502"/>
        <v>0.13443875886840573</v>
      </c>
      <c r="AK723" s="186"/>
      <c r="AL723" s="186">
        <f t="shared" si="503"/>
        <v>155.5209055144409</v>
      </c>
      <c r="AM723" s="187">
        <f t="shared" si="504"/>
        <v>41353.135448806097</v>
      </c>
      <c r="AN723" s="186"/>
      <c r="AO723" s="188">
        <v>1.9089068825911</v>
      </c>
      <c r="AQ723" s="186">
        <f t="shared" si="505"/>
        <v>507.57989489469662</v>
      </c>
      <c r="AR723" s="186">
        <f t="shared" si="506"/>
        <v>5.4005975033308989E-4</v>
      </c>
      <c r="AS723" s="187">
        <f>AR723*'DADOS BASE'!W$38</f>
        <v>162004.29814896209</v>
      </c>
      <c r="AU723" s="188">
        <v>0.71250000000000002</v>
      </c>
      <c r="AV723" s="188">
        <v>4.75</v>
      </c>
      <c r="AW723" s="186">
        <f t="shared" si="507"/>
        <v>0.17812500000000001</v>
      </c>
      <c r="AX723" s="186">
        <f>IF($AW$11&gt;0,(AW723/$AW$11)*'DADOS BASE'!W$40,0)</f>
        <v>32.004854166694514</v>
      </c>
      <c r="AY723" s="186">
        <f t="shared" si="508"/>
        <v>0.34002403846153967</v>
      </c>
      <c r="AZ723" s="186">
        <f t="shared" si="509"/>
        <v>1.7783364481571195E-5</v>
      </c>
      <c r="BA723" s="186">
        <f>AZ723*'DADOS BASE'!W$41</f>
        <v>131.38089632900247</v>
      </c>
      <c r="BC723" s="188">
        <v>0</v>
      </c>
      <c r="BD723" s="186">
        <f>IF($BC$11&gt;0,(BC723/$BC$11)*'DADOS BASE'!W$39,0)</f>
        <v>0</v>
      </c>
      <c r="BE723" s="187"/>
    </row>
    <row r="724" spans="1:58" x14ac:dyDescent="0.3">
      <c r="B724" s="223" t="s">
        <v>804</v>
      </c>
      <c r="C724" s="223" t="s">
        <v>809</v>
      </c>
      <c r="D724" s="223" t="s">
        <v>94</v>
      </c>
      <c r="E724" s="223">
        <v>2016</v>
      </c>
      <c r="F724" s="224"/>
      <c r="G724" s="225"/>
      <c r="H724" s="226">
        <f ca="1">IF(AND(E724&gt;=2018,SUMIF('DADOS BASE'!$C$101:$D$104,D724,'DADOS BASE'!$H$101:$H$104)&gt;J724),
SUMIF('DADOS BASE'!$C$101:$D$104,D724,'DADOS BASE'!$H$101:$H$104),
J724)</f>
        <v>626379.39191544091</v>
      </c>
      <c r="I724" s="225"/>
      <c r="J724" s="226">
        <f t="shared" si="498"/>
        <v>626379.39191544091</v>
      </c>
      <c r="K724" s="226"/>
      <c r="L724" s="227">
        <v>636.08856459696005</v>
      </c>
      <c r="M724" s="226">
        <f t="shared" si="499"/>
        <v>4.9624681934054636E-4</v>
      </c>
      <c r="N724" s="226">
        <f>L724*'DADOS BASE'!$I$29</f>
        <v>626379.39191544091</v>
      </c>
      <c r="O724" s="228"/>
      <c r="P724" s="227">
        <v>0</v>
      </c>
      <c r="Q724" s="226">
        <f>P724*'DADOS BASE'!$I$33</f>
        <v>0</v>
      </c>
      <c r="R724" s="226"/>
      <c r="S724" s="227">
        <v>0</v>
      </c>
      <c r="T724" s="226">
        <f>S724*'DADOS BASE'!$I$37</f>
        <v>0</v>
      </c>
      <c r="U724" s="226"/>
      <c r="V724" s="226">
        <f t="shared" si="500"/>
        <v>0</v>
      </c>
      <c r="W724" s="228"/>
      <c r="X724" s="226"/>
      <c r="Y724" s="226"/>
      <c r="Z724" s="224"/>
      <c r="AA724" s="226"/>
      <c r="AB724" s="226"/>
      <c r="AC724" s="226"/>
      <c r="AD724" s="226"/>
      <c r="AE724" s="227">
        <v>357</v>
      </c>
      <c r="AF724" s="227">
        <v>345.77182466758001</v>
      </c>
      <c r="AG724" s="226" t="s">
        <v>155</v>
      </c>
      <c r="AH724" s="229">
        <v>0.80500000000000005</v>
      </c>
      <c r="AI724" s="225">
        <f t="shared" si="501"/>
        <v>278.34631885740191</v>
      </c>
      <c r="AJ724" s="226">
        <f t="shared" si="502"/>
        <v>0.11150925979604927</v>
      </c>
      <c r="AK724" s="226"/>
      <c r="AL724" s="226">
        <f t="shared" si="503"/>
        <v>159.64079477157003</v>
      </c>
      <c r="AM724" s="228">
        <f t="shared" si="504"/>
        <v>55199.288899548432</v>
      </c>
      <c r="AN724" s="226"/>
      <c r="AO724" s="227">
        <v>1.2944078947368001</v>
      </c>
      <c r="AP724" s="225"/>
      <c r="AQ724" s="226">
        <f t="shared" si="505"/>
        <v>447.56977962726421</v>
      </c>
      <c r="AR724" s="226">
        <f t="shared" si="506"/>
        <v>4.762096093114225E-4</v>
      </c>
      <c r="AS724" s="228">
        <f>AR724*'DADOS BASE'!W$38</f>
        <v>142850.86692853199</v>
      </c>
      <c r="AT724" s="225"/>
      <c r="AU724" s="227">
        <v>0</v>
      </c>
      <c r="AV724" s="227">
        <v>0</v>
      </c>
      <c r="AW724" s="226">
        <f t="shared" si="507"/>
        <v>0</v>
      </c>
      <c r="AX724" s="226">
        <f>IF($AW$11&gt;0,(AW724/$AW$11)*'DADOS BASE'!W$40,0)</f>
        <v>0</v>
      </c>
      <c r="AY724" s="226">
        <f t="shared" si="508"/>
        <v>0</v>
      </c>
      <c r="AZ724" s="226">
        <f t="shared" si="509"/>
        <v>0</v>
      </c>
      <c r="BA724" s="226">
        <f>AZ724*'DADOS BASE'!W$41</f>
        <v>0</v>
      </c>
      <c r="BB724" s="225"/>
      <c r="BC724" s="227">
        <v>0</v>
      </c>
      <c r="BD724" s="226">
        <f>IF($BC$11&gt;0,(BC724/$BC$11)*'DADOS BASE'!W$39,0)</f>
        <v>0</v>
      </c>
      <c r="BE724" s="187"/>
    </row>
    <row r="725" spans="1:58" x14ac:dyDescent="0.3">
      <c r="B725" s="184" t="s">
        <v>804</v>
      </c>
      <c r="C725" s="184" t="s">
        <v>810</v>
      </c>
      <c r="D725" s="184" t="s">
        <v>94</v>
      </c>
      <c r="E725" s="184">
        <v>2010</v>
      </c>
      <c r="F725" s="185"/>
      <c r="H725" s="186">
        <f ca="1">IF(AND(E725&gt;=2018,SUMIF('DADOS BASE'!$C$101:$D$104,D725,'DADOS BASE'!$H$101:$H$104)&gt;J725),
SUMIF('DADOS BASE'!$C$101:$D$104,D725,'DADOS BASE'!$H$101:$H$104),
J725)</f>
        <v>813779.18957333337</v>
      </c>
      <c r="J725" s="186">
        <f t="shared" si="498"/>
        <v>813779.18957333337</v>
      </c>
      <c r="K725" s="186"/>
      <c r="L725" s="188">
        <v>825.83314651088995</v>
      </c>
      <c r="M725" s="186">
        <f t="shared" si="499"/>
        <v>6.4427674866579911E-4</v>
      </c>
      <c r="N725" s="186">
        <f>L725*'DADOS BASE'!$I$29</f>
        <v>813227.7373401135</v>
      </c>
      <c r="O725" s="187"/>
      <c r="P725" s="188">
        <v>0</v>
      </c>
      <c r="Q725" s="186">
        <f>P725*'DADOS BASE'!$I$33</f>
        <v>0</v>
      </c>
      <c r="R725" s="186"/>
      <c r="S725" s="188">
        <v>0.7</v>
      </c>
      <c r="T725" s="186">
        <f>S725*'DADOS BASE'!$I$37</f>
        <v>551.45223321991989</v>
      </c>
      <c r="U725" s="186"/>
      <c r="V725" s="186">
        <f t="shared" si="500"/>
        <v>551.45223321991989</v>
      </c>
      <c r="W725" s="187"/>
      <c r="X725" s="186"/>
      <c r="Y725" s="186"/>
      <c r="Z725" s="185"/>
      <c r="AA725" s="186"/>
      <c r="AB725" s="186"/>
      <c r="AC725" s="186"/>
      <c r="AD725" s="186"/>
      <c r="AE725" s="188">
        <v>353</v>
      </c>
      <c r="AF725" s="188">
        <v>331.18825860435999</v>
      </c>
      <c r="AG725" s="186" t="s">
        <v>155</v>
      </c>
      <c r="AH725" s="189">
        <v>0.77100000000000002</v>
      </c>
      <c r="AI725" s="183">
        <f t="shared" si="501"/>
        <v>255.34614738396155</v>
      </c>
      <c r="AJ725" s="186">
        <f t="shared" si="502"/>
        <v>6.5650261651336028E-2</v>
      </c>
      <c r="AK725" s="186"/>
      <c r="AL725" s="186">
        <f t="shared" si="503"/>
        <v>167.88057328582832</v>
      </c>
      <c r="AM725" s="187">
        <f t="shared" si="504"/>
        <v>55600.074720035118</v>
      </c>
      <c r="AN725" s="186"/>
      <c r="AO725" s="188">
        <v>1.8678571428571</v>
      </c>
      <c r="AQ725" s="186">
        <f t="shared" si="505"/>
        <v>618.61235446455817</v>
      </c>
      <c r="AR725" s="186">
        <f t="shared" si="506"/>
        <v>6.5819713717070016E-4</v>
      </c>
      <c r="AS725" s="187">
        <f>AR725*'DADOS BASE'!W$38</f>
        <v>197442.53332196907</v>
      </c>
      <c r="AU725" s="188">
        <v>0.7</v>
      </c>
      <c r="AV725" s="188">
        <v>1.75</v>
      </c>
      <c r="AW725" s="186">
        <f t="shared" si="507"/>
        <v>0.17499999999999999</v>
      </c>
      <c r="AX725" s="186">
        <f>IF($AW$11&gt;0,(AW725/$AW$11)*'DADOS BASE'!W$40,0)</f>
        <v>31.443365497103382</v>
      </c>
      <c r="AY725" s="186">
        <f t="shared" si="508"/>
        <v>0.32687499999999248</v>
      </c>
      <c r="AZ725" s="186">
        <f t="shared" si="509"/>
        <v>1.7095665621802662E-5</v>
      </c>
      <c r="BA725" s="186">
        <f>AZ725*'DADOS BASE'!W$41</f>
        <v>126.30027771521583</v>
      </c>
      <c r="BC725" s="188">
        <v>0</v>
      </c>
      <c r="BD725" s="186">
        <f>IF($BC$11&gt;0,(BC725/$BC$11)*'DADOS BASE'!W$39,0)</f>
        <v>0</v>
      </c>
      <c r="BE725" s="187"/>
    </row>
    <row r="726" spans="1:58" s="253" customFormat="1" x14ac:dyDescent="0.3">
      <c r="A726" s="244"/>
      <c r="B726" s="245" t="s">
        <v>804</v>
      </c>
      <c r="C726" s="245" t="s">
        <v>811</v>
      </c>
      <c r="D726" s="245" t="s">
        <v>92</v>
      </c>
      <c r="E726" s="245">
        <v>2010</v>
      </c>
      <c r="F726" s="246"/>
      <c r="G726" s="247"/>
      <c r="H726" s="248">
        <f ca="1">IF(AND(E726&gt;=2018,SUMIF('DADOS BASE'!$C$101:$D$104,D726,'DADOS BASE'!$H$101:$H$104)&gt;J726),
SUMIF('DADOS BASE'!$C$101:$D$104,D726,'DADOS BASE'!$H$101:$H$104),
J726)</f>
        <v>3054747.902480328</v>
      </c>
      <c r="I726" s="247"/>
      <c r="J726" s="248">
        <f t="shared" si="498"/>
        <v>3054747.902480328</v>
      </c>
      <c r="K726" s="248"/>
      <c r="L726" s="249">
        <v>3095.1219195251001</v>
      </c>
      <c r="M726" s="248">
        <f t="shared" si="499"/>
        <v>2.4146706819179278E-3</v>
      </c>
      <c r="N726" s="248">
        <f>L726*'DADOS BASE'!$I$29</f>
        <v>3047878.3832322168</v>
      </c>
      <c r="O726" s="250"/>
      <c r="P726" s="249">
        <v>0</v>
      </c>
      <c r="Q726" s="248">
        <f>P726*'DADOS BASE'!$I$33</f>
        <v>0</v>
      </c>
      <c r="R726" s="248"/>
      <c r="S726" s="249">
        <v>8.7200000000000006</v>
      </c>
      <c r="T726" s="248">
        <f>S726*'DADOS BASE'!$I$37</f>
        <v>6869.5192481110025</v>
      </c>
      <c r="U726" s="248"/>
      <c r="V726" s="248">
        <f t="shared" si="500"/>
        <v>6869.5192481110025</v>
      </c>
      <c r="W726" s="250"/>
      <c r="X726" s="248"/>
      <c r="Y726" s="248"/>
      <c r="Z726" s="246"/>
      <c r="AA726" s="248"/>
      <c r="AB726" s="248"/>
      <c r="AC726" s="248"/>
      <c r="AD726" s="248"/>
      <c r="AE726" s="249">
        <v>1411</v>
      </c>
      <c r="AF726" s="249">
        <v>1183.1207224585</v>
      </c>
      <c r="AG726" s="248" t="s">
        <v>155</v>
      </c>
      <c r="AH726" s="251">
        <v>0.76700000000000002</v>
      </c>
      <c r="AI726" s="247">
        <f t="shared" si="501"/>
        <v>907.4535941256695</v>
      </c>
      <c r="AJ726" s="248">
        <f t="shared" si="502"/>
        <v>6.0255085399016819E-2</v>
      </c>
      <c r="AK726" s="248"/>
      <c r="AL726" s="248">
        <f t="shared" si="503"/>
        <v>168.84995899338813</v>
      </c>
      <c r="AM726" s="250">
        <f t="shared" si="504"/>
        <v>199769.88547134548</v>
      </c>
      <c r="AN726" s="248"/>
      <c r="AO726" s="249">
        <v>0.24781732706514001</v>
      </c>
      <c r="AP726" s="247"/>
      <c r="AQ726" s="248">
        <f t="shared" si="505"/>
        <v>293.19781503504282</v>
      </c>
      <c r="AR726" s="248">
        <f t="shared" si="506"/>
        <v>3.1195943806813526E-4</v>
      </c>
      <c r="AS726" s="250">
        <f>AR726*'DADOS BASE'!W$38</f>
        <v>93579.959965545146</v>
      </c>
      <c r="AT726" s="247"/>
      <c r="AU726" s="249">
        <v>8.7200000000000006</v>
      </c>
      <c r="AV726" s="249">
        <v>34.5</v>
      </c>
      <c r="AW726" s="248">
        <f t="shared" si="507"/>
        <v>2.1800000000000002</v>
      </c>
      <c r="AX726" s="248">
        <f>IF($AW$11&gt;0,(AW726/$AW$11)*'DADOS BASE'!W$40,0)</f>
        <v>391.69449590677362</v>
      </c>
      <c r="AY726" s="248">
        <f t="shared" si="508"/>
        <v>0.54024177300200527</v>
      </c>
      <c r="AZ726" s="248">
        <f t="shared" si="509"/>
        <v>2.8254815162286234E-5</v>
      </c>
      <c r="BA726" s="248">
        <f>AZ726*'DADOS BASE'!W$41</f>
        <v>208.74244271821163</v>
      </c>
      <c r="BB726" s="247"/>
      <c r="BC726" s="249">
        <v>0</v>
      </c>
      <c r="BD726" s="248">
        <f>IF($BC$11&gt;0,(BC726/$BC$11)*'DADOS BASE'!W$39,0)</f>
        <v>0</v>
      </c>
      <c r="BE726" s="252"/>
      <c r="BF726" s="244"/>
    </row>
    <row r="727" spans="1:58" x14ac:dyDescent="0.3">
      <c r="B727" s="184" t="s">
        <v>804</v>
      </c>
      <c r="C727" s="184" t="s">
        <v>812</v>
      </c>
      <c r="D727" s="184" t="s">
        <v>94</v>
      </c>
      <c r="E727" s="184">
        <v>2009</v>
      </c>
      <c r="F727" s="185"/>
      <c r="H727" s="186">
        <f ca="1">IF(AND(E727&gt;=2018,SUMIF('DADOS BASE'!$C$101:$D$104,D727,'DADOS BASE'!$H$101:$H$104)&gt;J727),
SUMIF('DADOS BASE'!$C$101:$D$104,D727,'DADOS BASE'!$H$101:$H$104),
J727)</f>
        <v>4046538.1090825573</v>
      </c>
      <c r="J727" s="186">
        <f t="shared" si="498"/>
        <v>4046538.1090825573</v>
      </c>
      <c r="K727" s="186"/>
      <c r="L727" s="188">
        <v>4068.3400060133999</v>
      </c>
      <c r="M727" s="186">
        <f t="shared" si="499"/>
        <v>3.1739303303766667E-3</v>
      </c>
      <c r="N727" s="186">
        <f>L727*'DADOS BASE'!$I$29</f>
        <v>4006241.3960964852</v>
      </c>
      <c r="O727" s="187"/>
      <c r="P727" s="188">
        <v>0</v>
      </c>
      <c r="Q727" s="186">
        <f>P727*'DADOS BASE'!$I$33</f>
        <v>0</v>
      </c>
      <c r="R727" s="186"/>
      <c r="S727" s="188">
        <v>51.151663536741999</v>
      </c>
      <c r="T727" s="186">
        <f>S727*'DADOS BASE'!$I$37</f>
        <v>40296.712986071885</v>
      </c>
      <c r="U727" s="186"/>
      <c r="V727" s="186">
        <f t="shared" si="500"/>
        <v>40296.712986071885</v>
      </c>
      <c r="W727" s="187"/>
      <c r="X727" s="186"/>
      <c r="Y727" s="186"/>
      <c r="Z727" s="185"/>
      <c r="AA727" s="186"/>
      <c r="AB727" s="186"/>
      <c r="AC727" s="186"/>
      <c r="AD727" s="186"/>
      <c r="AE727" s="188">
        <v>1849</v>
      </c>
      <c r="AF727" s="188">
        <v>1621.221589342</v>
      </c>
      <c r="AG727" s="186" t="s">
        <v>155</v>
      </c>
      <c r="AH727" s="189">
        <v>0.78900000000000003</v>
      </c>
      <c r="AI727" s="183">
        <f t="shared" si="501"/>
        <v>1279.1438339908382</v>
      </c>
      <c r="AJ727" s="186">
        <f t="shared" si="502"/>
        <v>8.9928554786772447E-2</v>
      </c>
      <c r="AK727" s="186"/>
      <c r="AL727" s="186">
        <f t="shared" si="503"/>
        <v>163.51833760180924</v>
      </c>
      <c r="AM727" s="187">
        <f t="shared" si="504"/>
        <v>265099.45917336689</v>
      </c>
      <c r="AN727" s="186"/>
      <c r="AO727" s="188">
        <v>1.8740377886634001</v>
      </c>
      <c r="AQ727" s="186">
        <f t="shared" si="505"/>
        <v>3038.2305222238447</v>
      </c>
      <c r="AR727" s="186">
        <f t="shared" si="506"/>
        <v>3.2326458037251287E-3</v>
      </c>
      <c r="AS727" s="187">
        <f>AR727*'DADOS BASE'!W$38</f>
        <v>969712.17402088491</v>
      </c>
      <c r="AU727" s="188">
        <v>29.969696323627002</v>
      </c>
      <c r="AV727" s="188">
        <v>56</v>
      </c>
      <c r="AW727" s="186">
        <f t="shared" si="507"/>
        <v>7.4924240809067504</v>
      </c>
      <c r="AX727" s="186">
        <f>IF($AW$11&gt;0,(AW727/$AW$11)*'DADOS BASE'!W$40,0)</f>
        <v>1346.2115933442849</v>
      </c>
      <c r="AY727" s="186">
        <f t="shared" si="508"/>
        <v>14.041085856310895</v>
      </c>
      <c r="AZ727" s="186">
        <f t="shared" si="509"/>
        <v>7.3435321993581433E-4</v>
      </c>
      <c r="BA727" s="186">
        <f>AZ727*'DADOS BASE'!W$41</f>
        <v>5425.2942044368519</v>
      </c>
      <c r="BC727" s="188">
        <v>0</v>
      </c>
      <c r="BD727" s="186">
        <f>IF($BC$11&gt;0,(BC727/$BC$11)*'DADOS BASE'!W$39,0)</f>
        <v>0</v>
      </c>
      <c r="BE727" s="187"/>
    </row>
    <row r="728" spans="1:58" x14ac:dyDescent="0.3">
      <c r="B728" s="223" t="s">
        <v>804</v>
      </c>
      <c r="C728" s="223" t="s">
        <v>813</v>
      </c>
      <c r="D728" s="223" t="s">
        <v>94</v>
      </c>
      <c r="E728" s="223">
        <v>2013</v>
      </c>
      <c r="F728" s="224"/>
      <c r="G728" s="225"/>
      <c r="H728" s="226">
        <f ca="1">IF(AND(E728&gt;=2018,SUMIF('DADOS BASE'!$C$101:$D$104,D728,'DADOS BASE'!$H$101:$H$104)&gt;J728),
SUMIF('DADOS BASE'!$C$101:$D$104,D728,'DADOS BASE'!$H$101:$H$104),
J728)</f>
        <v>2055205.9389640912</v>
      </c>
      <c r="I728" s="225"/>
      <c r="J728" s="226">
        <f t="shared" si="498"/>
        <v>2055205.9389640912</v>
      </c>
      <c r="K728" s="226"/>
      <c r="L728" s="227">
        <v>2078.6131027206002</v>
      </c>
      <c r="M728" s="226">
        <f t="shared" si="499"/>
        <v>1.6216376119232185E-3</v>
      </c>
      <c r="N728" s="226">
        <f>L728*'DADOS BASE'!$I$29</f>
        <v>2046885.4240990386</v>
      </c>
      <c r="O728" s="228"/>
      <c r="P728" s="227">
        <v>0</v>
      </c>
      <c r="Q728" s="226">
        <f>P728*'DADOS BASE'!$I$33</f>
        <v>0</v>
      </c>
      <c r="R728" s="226"/>
      <c r="S728" s="227">
        <v>10.561858407080001</v>
      </c>
      <c r="T728" s="226">
        <f>S728*'DADOS BASE'!$I$37</f>
        <v>8320.5148650526462</v>
      </c>
      <c r="U728" s="226"/>
      <c r="V728" s="226">
        <f t="shared" si="500"/>
        <v>8320.5148650526462</v>
      </c>
      <c r="W728" s="228"/>
      <c r="X728" s="226"/>
      <c r="Y728" s="226"/>
      <c r="Z728" s="224"/>
      <c r="AA728" s="226"/>
      <c r="AB728" s="226"/>
      <c r="AC728" s="226"/>
      <c r="AD728" s="226"/>
      <c r="AE728" s="227">
        <v>1367</v>
      </c>
      <c r="AF728" s="227">
        <v>1052.2277642290001</v>
      </c>
      <c r="AG728" s="226" t="s">
        <v>155</v>
      </c>
      <c r="AH728" s="229">
        <v>0.78</v>
      </c>
      <c r="AI728" s="225">
        <f t="shared" si="501"/>
        <v>820.73765609862005</v>
      </c>
      <c r="AJ728" s="226">
        <f t="shared" si="502"/>
        <v>7.7789408219054237E-2</v>
      </c>
      <c r="AK728" s="226"/>
      <c r="AL728" s="226">
        <f t="shared" si="503"/>
        <v>165.69945544381878</v>
      </c>
      <c r="AM728" s="228">
        <f t="shared" si="504"/>
        <v>174353.56753561224</v>
      </c>
      <c r="AN728" s="226"/>
      <c r="AO728" s="227">
        <v>1.9418040737147999</v>
      </c>
      <c r="AP728" s="225"/>
      <c r="AQ728" s="226">
        <f t="shared" si="505"/>
        <v>2043.2201590556883</v>
      </c>
      <c r="AR728" s="226">
        <f t="shared" si="506"/>
        <v>2.1739650842633892E-3</v>
      </c>
      <c r="AS728" s="228">
        <f>AR728*'DADOS BASE'!W$38</f>
        <v>652134.67113448109</v>
      </c>
      <c r="AT728" s="225"/>
      <c r="AU728" s="227">
        <v>10.561858407080001</v>
      </c>
      <c r="AV728" s="227">
        <v>18.75</v>
      </c>
      <c r="AW728" s="226">
        <f t="shared" si="507"/>
        <v>2.6404646017700002</v>
      </c>
      <c r="AX728" s="226">
        <f>IF($AW$11&gt;0,(AW728/$AW$11)*'DADOS BASE'!W$40,0)</f>
        <v>474.42910603210083</v>
      </c>
      <c r="AY728" s="226">
        <f t="shared" si="508"/>
        <v>5.1272649202167129</v>
      </c>
      <c r="AZ728" s="226">
        <f t="shared" si="509"/>
        <v>2.6815757286554692E-4</v>
      </c>
      <c r="BA728" s="226">
        <f>AZ728*'DADOS BASE'!W$41</f>
        <v>1981.1089356569628</v>
      </c>
      <c r="BB728" s="225"/>
      <c r="BC728" s="227">
        <v>0</v>
      </c>
      <c r="BD728" s="226">
        <f>IF($BC$11&gt;0,(BC728/$BC$11)*'DADOS BASE'!W$39,0)</f>
        <v>0</v>
      </c>
      <c r="BE728" s="187"/>
    </row>
    <row r="729" spans="1:58" x14ac:dyDescent="0.3">
      <c r="B729" s="184" t="s">
        <v>804</v>
      </c>
      <c r="C729" s="184" t="s">
        <v>814</v>
      </c>
      <c r="D729" s="184" t="s">
        <v>94</v>
      </c>
      <c r="E729" s="184">
        <v>2009</v>
      </c>
      <c r="F729" s="185"/>
      <c r="H729" s="186">
        <f ca="1">IF(AND(E729&gt;=2018,SUMIF('DADOS BASE'!$C$101:$D$104,D729,'DADOS BASE'!$H$101:$H$104)&gt;J729),
SUMIF('DADOS BASE'!$C$101:$D$104,D729,'DADOS BASE'!$H$101:$H$104),
J729)</f>
        <v>1962633.3401624267</v>
      </c>
      <c r="J729" s="186">
        <f t="shared" si="498"/>
        <v>1962633.3401624267</v>
      </c>
      <c r="K729" s="186"/>
      <c r="L729" s="188">
        <v>1622.8811995803001</v>
      </c>
      <c r="M729" s="186">
        <f t="shared" si="499"/>
        <v>1.2660967014390236E-3</v>
      </c>
      <c r="N729" s="186">
        <f>L729*'DADOS BASE'!$I$29</f>
        <v>1598109.7531413909</v>
      </c>
      <c r="O729" s="187"/>
      <c r="P729" s="188">
        <v>1104.8224407035</v>
      </c>
      <c r="Q729" s="186">
        <f>P729*'DADOS BASE'!$I$33</f>
        <v>271989.64385599445</v>
      </c>
      <c r="R729" s="186"/>
      <c r="S729" s="188">
        <v>117.46032804567</v>
      </c>
      <c r="T729" s="186">
        <f>S729*'DADOS BASE'!$I$37</f>
        <v>92533.943165041579</v>
      </c>
      <c r="U729" s="186"/>
      <c r="V729" s="186">
        <f t="shared" si="500"/>
        <v>364523.58702103602</v>
      </c>
      <c r="W729" s="187"/>
      <c r="X729" s="186"/>
      <c r="Y729" s="186"/>
      <c r="Z729" s="185"/>
      <c r="AA729" s="186"/>
      <c r="AB729" s="186"/>
      <c r="AC729" s="186"/>
      <c r="AD729" s="186"/>
      <c r="AE729" s="188">
        <v>1212</v>
      </c>
      <c r="AF729" s="188">
        <v>797.43684227490996</v>
      </c>
      <c r="AG729" s="186" t="s">
        <v>155</v>
      </c>
      <c r="AH729" s="189">
        <v>0.78</v>
      </c>
      <c r="AI729" s="183">
        <f t="shared" si="501"/>
        <v>622.00073697442974</v>
      </c>
      <c r="AJ729" s="186">
        <f t="shared" si="502"/>
        <v>7.7789408219054237E-2</v>
      </c>
      <c r="AK729" s="186"/>
      <c r="AL729" s="186">
        <f t="shared" si="503"/>
        <v>165.69945544381878</v>
      </c>
      <c r="AM729" s="187">
        <f t="shared" si="504"/>
        <v>132134.85051579098</v>
      </c>
      <c r="AN729" s="186"/>
      <c r="AO729" s="188">
        <v>1.8775568181818001</v>
      </c>
      <c r="AQ729" s="186">
        <f t="shared" si="505"/>
        <v>1497.2329802826218</v>
      </c>
      <c r="AR729" s="186">
        <f t="shared" si="506"/>
        <v>1.5930403817307488E-3</v>
      </c>
      <c r="AS729" s="187">
        <f>AR729*'DADOS BASE'!W$38</f>
        <v>477871.91844248766</v>
      </c>
      <c r="AU729" s="188">
        <v>91.195218697113006</v>
      </c>
      <c r="AV729" s="188">
        <v>291</v>
      </c>
      <c r="AW729" s="186">
        <f t="shared" si="507"/>
        <v>22.798804674278252</v>
      </c>
      <c r="AX729" s="186">
        <f>IF($AW$11&gt;0,(AW729/$AW$11)*'DADOS BASE'!W$40,0)</f>
        <v>4096.4065615451436</v>
      </c>
      <c r="AY729" s="186">
        <f t="shared" si="508"/>
        <v>42.806051162586222</v>
      </c>
      <c r="AZ729" s="186">
        <f t="shared" si="509"/>
        <v>2.2387699801617376E-3</v>
      </c>
      <c r="BA729" s="186">
        <f>AZ729*'DADOS BASE'!W$41</f>
        <v>16539.70523816903</v>
      </c>
      <c r="BC729" s="188">
        <v>0</v>
      </c>
      <c r="BD729" s="186">
        <f>IF($BC$11&gt;0,(BC729/$BC$11)*'DADOS BASE'!W$39,0)</f>
        <v>0</v>
      </c>
      <c r="BE729" s="187"/>
    </row>
    <row r="730" spans="1:58" x14ac:dyDescent="0.3">
      <c r="B730" s="223" t="s">
        <v>804</v>
      </c>
      <c r="C730" s="223" t="s">
        <v>815</v>
      </c>
      <c r="D730" s="223" t="s">
        <v>94</v>
      </c>
      <c r="E730" s="223">
        <v>2010</v>
      </c>
      <c r="F730" s="224"/>
      <c r="G730" s="225"/>
      <c r="H730" s="226">
        <f ca="1">IF(AND(E730&gt;=2018,SUMIF('DADOS BASE'!$C$101:$D$104,D730,'DADOS BASE'!$H$101:$H$104)&gt;J730),
SUMIF('DADOS BASE'!$C$101:$D$104,D730,'DADOS BASE'!$H$101:$H$104),
J730)</f>
        <v>2597242.9940153514</v>
      </c>
      <c r="I730" s="225"/>
      <c r="J730" s="226">
        <f t="shared" si="498"/>
        <v>2597242.9940153514</v>
      </c>
      <c r="K730" s="226"/>
      <c r="L730" s="227">
        <v>2629.9198716252999</v>
      </c>
      <c r="M730" s="226">
        <f t="shared" si="499"/>
        <v>2.0517416033748177E-3</v>
      </c>
      <c r="N730" s="226">
        <f>L730*'DADOS BASE'!$I$29</f>
        <v>2589777.1185664581</v>
      </c>
      <c r="O730" s="228"/>
      <c r="P730" s="227">
        <v>0</v>
      </c>
      <c r="Q730" s="226">
        <f>P730*'DADOS BASE'!$I$33</f>
        <v>0</v>
      </c>
      <c r="R730" s="226"/>
      <c r="S730" s="227">
        <v>9.4770000000000003</v>
      </c>
      <c r="T730" s="226">
        <f>S730*'DADOS BASE'!$I$37</f>
        <v>7465.8754488931154</v>
      </c>
      <c r="U730" s="226"/>
      <c r="V730" s="226">
        <f t="shared" si="500"/>
        <v>7465.8754488931154</v>
      </c>
      <c r="W730" s="228"/>
      <c r="X730" s="226"/>
      <c r="Y730" s="226"/>
      <c r="Z730" s="224"/>
      <c r="AA730" s="226"/>
      <c r="AB730" s="226"/>
      <c r="AC730" s="226"/>
      <c r="AD730" s="226"/>
      <c r="AE730" s="227">
        <v>1588</v>
      </c>
      <c r="AF730" s="227">
        <v>1200.8499829328</v>
      </c>
      <c r="AG730" s="226" t="s">
        <v>155</v>
      </c>
      <c r="AH730" s="229">
        <v>0.77600000000000002</v>
      </c>
      <c r="AI730" s="225">
        <f t="shared" si="501"/>
        <v>931.85958675585277</v>
      </c>
      <c r="AJ730" s="226">
        <f t="shared" si="502"/>
        <v>7.2394231966735029E-2</v>
      </c>
      <c r="AK730" s="226"/>
      <c r="AL730" s="226">
        <f t="shared" si="503"/>
        <v>166.66884115137859</v>
      </c>
      <c r="AM730" s="228">
        <f t="shared" si="504"/>
        <v>200144.27505206253</v>
      </c>
      <c r="AN730" s="226"/>
      <c r="AO730" s="227">
        <v>1.7817944250871001</v>
      </c>
      <c r="AP730" s="225"/>
      <c r="AQ730" s="226">
        <f t="shared" si="505"/>
        <v>2139.6678049556022</v>
      </c>
      <c r="AR730" s="226">
        <f t="shared" si="506"/>
        <v>2.2765843804349365E-3</v>
      </c>
      <c r="AS730" s="228">
        <f>AR730*'DADOS BASE'!W$38</f>
        <v>682917.87066482648</v>
      </c>
      <c r="AT730" s="225"/>
      <c r="AU730" s="227">
        <v>9.4770000000000003</v>
      </c>
      <c r="AV730" s="227">
        <v>55</v>
      </c>
      <c r="AW730" s="226">
        <f t="shared" si="507"/>
        <v>2.3692500000000001</v>
      </c>
      <c r="AX730" s="226">
        <f>IF($AW$11&gt;0,(AW730/$AW$11)*'DADOS BASE'!W$40,0)</f>
        <v>425.69824973721256</v>
      </c>
      <c r="AY730" s="226">
        <f t="shared" si="508"/>
        <v>4.2215164416376121</v>
      </c>
      <c r="AZ730" s="226">
        <f t="shared" si="509"/>
        <v>2.207866416923304E-4</v>
      </c>
      <c r="BA730" s="226">
        <f>AZ730*'DADOS BASE'!W$41</f>
        <v>1631.1394231990591</v>
      </c>
      <c r="BB730" s="225"/>
      <c r="BC730" s="227">
        <v>0</v>
      </c>
      <c r="BD730" s="226">
        <f>IF($BC$11&gt;0,(BC730/$BC$11)*'DADOS BASE'!W$39,0)</f>
        <v>0</v>
      </c>
      <c r="BE730" s="187"/>
    </row>
    <row r="731" spans="1:58" x14ac:dyDescent="0.3">
      <c r="B731" s="184" t="s">
        <v>804</v>
      </c>
      <c r="C731" s="184" t="s">
        <v>816</v>
      </c>
      <c r="D731" s="184" t="s">
        <v>94</v>
      </c>
      <c r="E731" s="184">
        <v>2009</v>
      </c>
      <c r="F731" s="185"/>
      <c r="H731" s="186">
        <f ca="1">IF(AND(E731&gt;=2018,SUMIF('DADOS BASE'!$C$101:$D$104,D731,'DADOS BASE'!$H$101:$H$104)&gt;J731),
SUMIF('DADOS BASE'!$C$101:$D$104,D731,'DADOS BASE'!$H$101:$H$104),
J731)</f>
        <v>1474045.3725398094</v>
      </c>
      <c r="J731" s="186">
        <f t="shared" si="498"/>
        <v>1474045.3725398094</v>
      </c>
      <c r="K731" s="186"/>
      <c r="L731" s="188">
        <v>1489.0137632230001</v>
      </c>
      <c r="M731" s="186">
        <f t="shared" si="499"/>
        <v>1.1616595315180778E-3</v>
      </c>
      <c r="N731" s="186">
        <f>L731*'DADOS BASE'!$I$29</f>
        <v>1466285.6518295007</v>
      </c>
      <c r="O731" s="187"/>
      <c r="P731" s="188">
        <v>0</v>
      </c>
      <c r="Q731" s="186">
        <f>P731*'DADOS BASE'!$I$33</f>
        <v>0</v>
      </c>
      <c r="R731" s="186"/>
      <c r="S731" s="188">
        <v>9.85</v>
      </c>
      <c r="T731" s="186">
        <f>S731*'DADOS BASE'!$I$37</f>
        <v>7759.7207103088722</v>
      </c>
      <c r="U731" s="186"/>
      <c r="V731" s="186">
        <f t="shared" si="500"/>
        <v>7759.7207103088722</v>
      </c>
      <c r="W731" s="187"/>
      <c r="X731" s="186"/>
      <c r="Y731" s="186"/>
      <c r="Z731" s="185"/>
      <c r="AA731" s="186"/>
      <c r="AB731" s="186"/>
      <c r="AC731" s="186"/>
      <c r="AD731" s="186"/>
      <c r="AE731" s="188">
        <v>1328</v>
      </c>
      <c r="AF731" s="188">
        <v>788.75794534577005</v>
      </c>
      <c r="AG731" s="186" t="s">
        <v>155</v>
      </c>
      <c r="AH731" s="189">
        <v>0.80500000000000005</v>
      </c>
      <c r="AI731" s="183">
        <f t="shared" si="501"/>
        <v>634.95014600334491</v>
      </c>
      <c r="AJ731" s="186">
        <f t="shared" si="502"/>
        <v>0.11150925979604927</v>
      </c>
      <c r="AK731" s="186"/>
      <c r="AL731" s="186">
        <f t="shared" si="503"/>
        <v>159.64079477157003</v>
      </c>
      <c r="AM731" s="187">
        <f t="shared" si="504"/>
        <v>125917.94527738933</v>
      </c>
      <c r="AN731" s="186"/>
      <c r="AO731" s="188">
        <v>1.6229433272395</v>
      </c>
      <c r="AQ731" s="186">
        <f t="shared" si="505"/>
        <v>1280.1094442060557</v>
      </c>
      <c r="AR731" s="186">
        <f t="shared" si="506"/>
        <v>1.3620231884487438E-3</v>
      </c>
      <c r="AS731" s="187">
        <f>AR731*'DADOS BASE'!W$38</f>
        <v>408572.58955357969</v>
      </c>
      <c r="AU731" s="188">
        <v>9.85</v>
      </c>
      <c r="AV731" s="188">
        <v>18.25</v>
      </c>
      <c r="AW731" s="186">
        <f t="shared" si="507"/>
        <v>2.4624999999999999</v>
      </c>
      <c r="AX731" s="186">
        <f>IF($AW$11&gt;0,(AW731/$AW$11)*'DADOS BASE'!W$40,0)</f>
        <v>442.45307163781195</v>
      </c>
      <c r="AY731" s="186">
        <f t="shared" si="508"/>
        <v>3.9964979433272685</v>
      </c>
      <c r="AZ731" s="186">
        <f t="shared" si="509"/>
        <v>2.0901810324236057E-4</v>
      </c>
      <c r="BA731" s="186">
        <f>AZ731*'DADOS BASE'!W$41</f>
        <v>1544.1951820437005</v>
      </c>
      <c r="BC731" s="188">
        <v>0</v>
      </c>
      <c r="BD731" s="186">
        <f>IF($BC$11&gt;0,(BC731/$BC$11)*'DADOS BASE'!W$39,0)</f>
        <v>0</v>
      </c>
      <c r="BE731" s="187"/>
    </row>
    <row r="732" spans="1:58" x14ac:dyDescent="0.3">
      <c r="B732" s="223" t="s">
        <v>804</v>
      </c>
      <c r="C732" s="223" t="s">
        <v>817</v>
      </c>
      <c r="D732" s="223" t="s">
        <v>94</v>
      </c>
      <c r="E732" s="223">
        <v>2013</v>
      </c>
      <c r="F732" s="224"/>
      <c r="G732" s="225"/>
      <c r="H732" s="226">
        <f ca="1">IF(AND(E732&gt;=2018,SUMIF('DADOS BASE'!$C$101:$D$104,D732,'DADOS BASE'!$H$101:$H$104)&gt;J732),
SUMIF('DADOS BASE'!$C$101:$D$104,D732,'DADOS BASE'!$H$101:$H$104),
J732)</f>
        <v>1496438.2313338274</v>
      </c>
      <c r="I732" s="225"/>
      <c r="J732" s="226">
        <f t="shared" si="498"/>
        <v>1496438.2313338274</v>
      </c>
      <c r="K732" s="226"/>
      <c r="L732" s="227">
        <v>1512.6207153488999</v>
      </c>
      <c r="M732" s="226">
        <f t="shared" si="499"/>
        <v>1.1800765815309564E-3</v>
      </c>
      <c r="N732" s="226">
        <f>L732*'DADOS BASE'!$I$29</f>
        <v>1489532.2705247563</v>
      </c>
      <c r="O732" s="228"/>
      <c r="P732" s="227">
        <v>0</v>
      </c>
      <c r="Q732" s="226">
        <f>P732*'DADOS BASE'!$I$33</f>
        <v>0</v>
      </c>
      <c r="R732" s="226"/>
      <c r="S732" s="227">
        <v>8.7662580276866002</v>
      </c>
      <c r="T732" s="226">
        <f>S732*'DADOS BASE'!$I$37</f>
        <v>6905.9608090711799</v>
      </c>
      <c r="U732" s="226"/>
      <c r="V732" s="226">
        <f t="shared" si="500"/>
        <v>6905.9608090711799</v>
      </c>
      <c r="W732" s="228"/>
      <c r="X732" s="226"/>
      <c r="Y732" s="226"/>
      <c r="Z732" s="224"/>
      <c r="AA732" s="226"/>
      <c r="AB732" s="226"/>
      <c r="AC732" s="226"/>
      <c r="AD732" s="226"/>
      <c r="AE732" s="227">
        <v>1094</v>
      </c>
      <c r="AF732" s="227">
        <v>759.45815164853002</v>
      </c>
      <c r="AG732" s="226" t="s">
        <v>155</v>
      </c>
      <c r="AH732" s="229">
        <v>0.749</v>
      </c>
      <c r="AI732" s="225">
        <f t="shared" si="501"/>
        <v>568.83415558474894</v>
      </c>
      <c r="AJ732" s="226">
        <f t="shared" si="502"/>
        <v>3.5976792263580394E-2</v>
      </c>
      <c r="AK732" s="226"/>
      <c r="AL732" s="226">
        <f t="shared" si="503"/>
        <v>173.21219467740724</v>
      </c>
      <c r="AM732" s="228">
        <f t="shared" si="504"/>
        <v>131547.41321268905</v>
      </c>
      <c r="AN732" s="226"/>
      <c r="AO732" s="227">
        <v>1.8920345489443</v>
      </c>
      <c r="AP732" s="225"/>
      <c r="AQ732" s="226">
        <f t="shared" si="505"/>
        <v>1436.9210613963983</v>
      </c>
      <c r="AR732" s="226">
        <f t="shared" si="506"/>
        <v>1.5288691247849612E-3</v>
      </c>
      <c r="AS732" s="228">
        <f>AR732*'DADOS BASE'!W$38</f>
        <v>458622.16054731567</v>
      </c>
      <c r="AT732" s="225"/>
      <c r="AU732" s="227">
        <v>8.7662580276866002</v>
      </c>
      <c r="AV732" s="227">
        <v>54.75</v>
      </c>
      <c r="AW732" s="226">
        <f t="shared" si="507"/>
        <v>2.1915645069216501</v>
      </c>
      <c r="AX732" s="226">
        <f>IF($AW$11&gt;0,(AW732/$AW$11)*'DADOS BASE'!W$40,0)</f>
        <v>393.77236458066631</v>
      </c>
      <c r="AY732" s="226">
        <f t="shared" si="508"/>
        <v>4.1465157633358416</v>
      </c>
      <c r="AZ732" s="226">
        <f t="shared" si="509"/>
        <v>2.1686408255609945E-4</v>
      </c>
      <c r="BA732" s="226">
        <f>AZ732*'DADOS BASE'!W$41</f>
        <v>1602.1601298962876</v>
      </c>
      <c r="BB732" s="225"/>
      <c r="BC732" s="227">
        <v>0</v>
      </c>
      <c r="BD732" s="226">
        <f>IF($BC$11&gt;0,(BC732/$BC$11)*'DADOS BASE'!W$39,0)</f>
        <v>0</v>
      </c>
      <c r="BE732" s="187"/>
    </row>
    <row r="733" spans="1:58" x14ac:dyDescent="0.3">
      <c r="B733" s="184" t="s">
        <v>804</v>
      </c>
      <c r="C733" s="184" t="s">
        <v>818</v>
      </c>
      <c r="D733" s="184" t="s">
        <v>94</v>
      </c>
      <c r="E733" s="184">
        <v>2009</v>
      </c>
      <c r="F733" s="185"/>
      <c r="H733" s="186">
        <f ca="1">IF(AND(E733&gt;=2018,SUMIF('DADOS BASE'!$C$101:$D$104,D733,'DADOS BASE'!$H$101:$H$104)&gt;J733),
SUMIF('DADOS BASE'!$C$101:$D$104,D733,'DADOS BASE'!$H$101:$H$104),
J733)</f>
        <v>1723757.7518307054</v>
      </c>
      <c r="J733" s="186">
        <f t="shared" si="498"/>
        <v>1723757.7518307054</v>
      </c>
      <c r="K733" s="186"/>
      <c r="L733" s="188">
        <v>1711.4338008442001</v>
      </c>
      <c r="M733" s="186">
        <f t="shared" si="499"/>
        <v>1.3351813370815239E-3</v>
      </c>
      <c r="N733" s="186">
        <f>L733*'DADOS BASE'!$I$29</f>
        <v>1685310.6990778388</v>
      </c>
      <c r="O733" s="187"/>
      <c r="P733" s="188">
        <v>54</v>
      </c>
      <c r="Q733" s="186">
        <f>P733*'DADOS BASE'!$I$33</f>
        <v>13293.937765123068</v>
      </c>
      <c r="R733" s="186"/>
      <c r="S733" s="188">
        <v>31.928750000000001</v>
      </c>
      <c r="T733" s="186">
        <f>S733*'DADOS BASE'!$I$37</f>
        <v>25153.114987743596</v>
      </c>
      <c r="U733" s="186"/>
      <c r="V733" s="186">
        <f t="shared" si="500"/>
        <v>38447.052752866664</v>
      </c>
      <c r="W733" s="187"/>
      <c r="X733" s="186"/>
      <c r="Y733" s="186"/>
      <c r="Z733" s="185"/>
      <c r="AA733" s="186"/>
      <c r="AB733" s="186"/>
      <c r="AC733" s="186"/>
      <c r="AD733" s="186"/>
      <c r="AE733" s="188">
        <v>998</v>
      </c>
      <c r="AF733" s="188">
        <v>791.39619532040001</v>
      </c>
      <c r="AG733" s="186" t="s">
        <v>155</v>
      </c>
      <c r="AH733" s="189">
        <v>0.75</v>
      </c>
      <c r="AI733" s="183">
        <f t="shared" si="501"/>
        <v>593.54714649030007</v>
      </c>
      <c r="AJ733" s="186">
        <f t="shared" si="502"/>
        <v>3.7325586326660193E-2</v>
      </c>
      <c r="AK733" s="186"/>
      <c r="AL733" s="186">
        <f t="shared" si="503"/>
        <v>172.96984825051729</v>
      </c>
      <c r="AM733" s="187">
        <f t="shared" si="504"/>
        <v>136887.67981060632</v>
      </c>
      <c r="AN733" s="186"/>
      <c r="AO733" s="188">
        <v>1.6720472440945</v>
      </c>
      <c r="AQ733" s="186">
        <f t="shared" si="505"/>
        <v>1323.2518273723474</v>
      </c>
      <c r="AR733" s="186">
        <f t="shared" si="506"/>
        <v>1.4079262372414776E-3</v>
      </c>
      <c r="AS733" s="187">
        <f>AR733*'DADOS BASE'!W$38</f>
        <v>422342.34595178906</v>
      </c>
      <c r="AU733" s="188">
        <v>31.928750000000001</v>
      </c>
      <c r="AV733" s="188">
        <v>124</v>
      </c>
      <c r="AW733" s="186">
        <f t="shared" si="507"/>
        <v>7.9821875000000002</v>
      </c>
      <c r="AX733" s="186">
        <f>IF($AW$11&gt;0,(AW733/$AW$11)*'DADOS BASE'!W$40,0)</f>
        <v>1434.2105087366281</v>
      </c>
      <c r="AY733" s="186">
        <f t="shared" si="508"/>
        <v>13.346594611220567</v>
      </c>
      <c r="AZ733" s="186">
        <f t="shared" si="509"/>
        <v>6.98031108721026E-4</v>
      </c>
      <c r="BA733" s="186">
        <f>AZ733*'DADOS BASE'!W$41</f>
        <v>5156.9517581632108</v>
      </c>
      <c r="BC733" s="188">
        <v>0</v>
      </c>
      <c r="BD733" s="186">
        <f>IF($BC$11&gt;0,(BC733/$BC$11)*'DADOS BASE'!W$39,0)</f>
        <v>0</v>
      </c>
      <c r="BE733" s="187"/>
    </row>
    <row r="734" spans="1:58" s="253" customFormat="1" x14ac:dyDescent="0.3">
      <c r="A734" s="244"/>
      <c r="B734" s="245" t="s">
        <v>804</v>
      </c>
      <c r="C734" s="245" t="s">
        <v>819</v>
      </c>
      <c r="D734" s="245" t="s">
        <v>94</v>
      </c>
      <c r="E734" s="245">
        <v>2009</v>
      </c>
      <c r="F734" s="246"/>
      <c r="G734" s="247"/>
      <c r="H734" s="248">
        <f ca="1">IF(AND(E734&gt;=2018,SUMIF('DADOS BASE'!$C$101:$D$104,D734,'DADOS BASE'!$H$101:$H$104)&gt;J734),
SUMIF('DADOS BASE'!$C$101:$D$104,D734,'DADOS BASE'!$H$101:$H$104),
J734)</f>
        <v>2164287.3107360024</v>
      </c>
      <c r="I734" s="247"/>
      <c r="J734" s="248">
        <f t="shared" si="498"/>
        <v>2164287.3107360024</v>
      </c>
      <c r="K734" s="248"/>
      <c r="L734" s="249">
        <v>2130.2865762482002</v>
      </c>
      <c r="M734" s="248">
        <f t="shared" si="499"/>
        <v>1.6619508612245909E-3</v>
      </c>
      <c r="N734" s="248">
        <f>L734*'DADOS BASE'!$I$29</f>
        <v>2097770.1604830124</v>
      </c>
      <c r="O734" s="250"/>
      <c r="P734" s="249">
        <v>0</v>
      </c>
      <c r="Q734" s="248">
        <f>P734*'DADOS BASE'!$I$33</f>
        <v>0</v>
      </c>
      <c r="R734" s="248"/>
      <c r="S734" s="249">
        <v>84.435246377040002</v>
      </c>
      <c r="T734" s="248">
        <f>S734*'DADOS BASE'!$I$37</f>
        <v>66517.150252989799</v>
      </c>
      <c r="U734" s="248"/>
      <c r="V734" s="248">
        <f t="shared" si="500"/>
        <v>66517.150252989799</v>
      </c>
      <c r="W734" s="250"/>
      <c r="X734" s="248"/>
      <c r="Y734" s="248"/>
      <c r="Z734" s="246"/>
      <c r="AA734" s="248"/>
      <c r="AB734" s="248"/>
      <c r="AC734" s="248"/>
      <c r="AD734" s="248"/>
      <c r="AE734" s="249">
        <v>1700</v>
      </c>
      <c r="AF734" s="249">
        <v>1101.9657830722999</v>
      </c>
      <c r="AG734" s="248" t="s">
        <v>155</v>
      </c>
      <c r="AH734" s="251">
        <v>0.75900000000000001</v>
      </c>
      <c r="AI734" s="247">
        <f t="shared" si="501"/>
        <v>836.39202935187564</v>
      </c>
      <c r="AJ734" s="248">
        <f t="shared" si="502"/>
        <v>4.9464732894378409E-2</v>
      </c>
      <c r="AK734" s="248"/>
      <c r="AL734" s="248">
        <f t="shared" si="503"/>
        <v>170.78873040850775</v>
      </c>
      <c r="AM734" s="250">
        <f t="shared" si="504"/>
        <v>188203.33704453515</v>
      </c>
      <c r="AN734" s="248"/>
      <c r="AO734" s="249">
        <v>0</v>
      </c>
      <c r="AP734" s="247"/>
      <c r="AQ734" s="248">
        <f t="shared" si="505"/>
        <v>0</v>
      </c>
      <c r="AR734" s="248">
        <f t="shared" si="506"/>
        <v>0</v>
      </c>
      <c r="AS734" s="250">
        <f>AR734*'DADOS BASE'!W$38</f>
        <v>0</v>
      </c>
      <c r="AT734" s="247"/>
      <c r="AU734" s="249">
        <v>24.507010974176001</v>
      </c>
      <c r="AV734" s="249">
        <v>31</v>
      </c>
      <c r="AW734" s="248">
        <f t="shared" si="507"/>
        <v>6.1267527435440003</v>
      </c>
      <c r="AX734" s="248">
        <f>IF($AW$11&gt;0,(AW734/$AW$11)*'DADOS BASE'!W$40,0)</f>
        <v>1100.8327190036282</v>
      </c>
      <c r="AY734" s="248">
        <f t="shared" si="508"/>
        <v>0</v>
      </c>
      <c r="AZ734" s="248">
        <f t="shared" si="509"/>
        <v>0</v>
      </c>
      <c r="BA734" s="248">
        <f>AZ734*'DADOS BASE'!W$41</f>
        <v>0</v>
      </c>
      <c r="BB734" s="247"/>
      <c r="BC734" s="249">
        <v>0</v>
      </c>
      <c r="BD734" s="248">
        <f>IF($BC$11&gt;0,(BC734/$BC$11)*'DADOS BASE'!W$39,0)</f>
        <v>0</v>
      </c>
      <c r="BE734" s="252"/>
      <c r="BF734" s="244"/>
    </row>
    <row r="735" spans="1:58" x14ac:dyDescent="0.3">
      <c r="B735" s="184" t="s">
        <v>804</v>
      </c>
      <c r="C735" s="184" t="s">
        <v>820</v>
      </c>
      <c r="D735" s="184" t="s">
        <v>94</v>
      </c>
      <c r="E735" s="184">
        <v>2009</v>
      </c>
      <c r="F735" s="185"/>
      <c r="H735" s="186">
        <f ca="1">IF(AND(E735&gt;=2018,SUMIF('DADOS BASE'!$C$101:$D$104,D735,'DADOS BASE'!$H$101:$H$104)&gt;J735),
SUMIF('DADOS BASE'!$C$101:$D$104,D735,'DADOS BASE'!$H$101:$H$104),
J735)</f>
        <v>1891993.9129428302</v>
      </c>
      <c r="J735" s="186">
        <f t="shared" si="498"/>
        <v>1891993.9129428302</v>
      </c>
      <c r="K735" s="186"/>
      <c r="L735" s="188">
        <v>1921.3207009091</v>
      </c>
      <c r="M735" s="186">
        <f t="shared" si="499"/>
        <v>1.4989253695567013E-3</v>
      </c>
      <c r="N735" s="186">
        <f>L735*'DADOS BASE'!$I$29</f>
        <v>1891993.9129428302</v>
      </c>
      <c r="O735" s="187"/>
      <c r="P735" s="188">
        <v>0</v>
      </c>
      <c r="Q735" s="186">
        <f>P735*'DADOS BASE'!$I$33</f>
        <v>0</v>
      </c>
      <c r="R735" s="186"/>
      <c r="S735" s="188">
        <v>0</v>
      </c>
      <c r="T735" s="186">
        <f>S735*'DADOS BASE'!$I$37</f>
        <v>0</v>
      </c>
      <c r="U735" s="186"/>
      <c r="V735" s="186">
        <f t="shared" si="500"/>
        <v>0</v>
      </c>
      <c r="W735" s="187"/>
      <c r="X735" s="186"/>
      <c r="Y735" s="186"/>
      <c r="Z735" s="185"/>
      <c r="AA735" s="186"/>
      <c r="AB735" s="186"/>
      <c r="AC735" s="186"/>
      <c r="AD735" s="186"/>
      <c r="AE735" s="188">
        <v>1051</v>
      </c>
      <c r="AF735" s="188">
        <v>872.26937138452001</v>
      </c>
      <c r="AG735" s="186" t="s">
        <v>155</v>
      </c>
      <c r="AH735" s="189">
        <v>0.78500000000000003</v>
      </c>
      <c r="AI735" s="183">
        <f t="shared" si="501"/>
        <v>684.73145653684821</v>
      </c>
      <c r="AJ735" s="186">
        <f t="shared" si="502"/>
        <v>8.4533378534453238E-2</v>
      </c>
      <c r="AK735" s="186"/>
      <c r="AL735" s="186">
        <f t="shared" si="503"/>
        <v>164.48772330936902</v>
      </c>
      <c r="AM735" s="187">
        <f t="shared" si="504"/>
        <v>143477.60301153417</v>
      </c>
      <c r="AN735" s="186"/>
      <c r="AO735" s="188">
        <v>1.8302919708029</v>
      </c>
      <c r="AQ735" s="186">
        <f t="shared" si="505"/>
        <v>1596.5076268223797</v>
      </c>
      <c r="AR735" s="186">
        <f t="shared" si="506"/>
        <v>1.6986675772992226E-3</v>
      </c>
      <c r="AS735" s="187">
        <f>AR735*'DADOS BASE'!W$38</f>
        <v>509557.41189568362</v>
      </c>
      <c r="AU735" s="188">
        <v>0</v>
      </c>
      <c r="AV735" s="188">
        <v>0</v>
      </c>
      <c r="AW735" s="186">
        <f t="shared" si="507"/>
        <v>0</v>
      </c>
      <c r="AX735" s="186">
        <f>IF($AW$11&gt;0,(AW735/$AW$11)*'DADOS BASE'!W$40,0)</f>
        <v>0</v>
      </c>
      <c r="AY735" s="186">
        <f t="shared" si="508"/>
        <v>0</v>
      </c>
      <c r="AZ735" s="186">
        <f t="shared" si="509"/>
        <v>0</v>
      </c>
      <c r="BA735" s="186">
        <f>AZ735*'DADOS BASE'!W$41</f>
        <v>0</v>
      </c>
      <c r="BC735" s="188">
        <v>0</v>
      </c>
      <c r="BD735" s="186">
        <f>IF($BC$11&gt;0,(BC735/$BC$11)*'DADOS BASE'!W$39,0)</f>
        <v>0</v>
      </c>
      <c r="BE735" s="187"/>
    </row>
    <row r="736" spans="1:58" x14ac:dyDescent="0.3">
      <c r="B736" s="223" t="s">
        <v>804</v>
      </c>
      <c r="C736" s="223" t="s">
        <v>821</v>
      </c>
      <c r="D736" s="223" t="s">
        <v>94</v>
      </c>
      <c r="E736" s="223">
        <v>2009</v>
      </c>
      <c r="F736" s="224"/>
      <c r="G736" s="225"/>
      <c r="H736" s="226">
        <f ca="1">IF(AND(E736&gt;=2018,SUMIF('DADOS BASE'!$C$101:$D$104,D736,'DADOS BASE'!$H$101:$H$104)&gt;J736),
SUMIF('DADOS BASE'!$C$101:$D$104,D736,'DADOS BASE'!$H$101:$H$104),
J736)</f>
        <v>2508315.8898213748</v>
      </c>
      <c r="I736" s="225"/>
      <c r="J736" s="226">
        <f t="shared" si="498"/>
        <v>2508315.8898213748</v>
      </c>
      <c r="K736" s="226"/>
      <c r="L736" s="227">
        <v>2546.8059558458999</v>
      </c>
      <c r="M736" s="226">
        <f t="shared" si="499"/>
        <v>1.9868999780979996E-3</v>
      </c>
      <c r="N736" s="226">
        <f>L736*'DADOS BASE'!$I$29</f>
        <v>2507931.8427303825</v>
      </c>
      <c r="O736" s="228"/>
      <c r="P736" s="227">
        <v>0</v>
      </c>
      <c r="Q736" s="226">
        <f>P736*'DADOS BASE'!$I$33</f>
        <v>0</v>
      </c>
      <c r="R736" s="226"/>
      <c r="S736" s="227">
        <v>0.48749999999999999</v>
      </c>
      <c r="T736" s="226">
        <f>S736*'DADOS BASE'!$I$37</f>
        <v>384.04709099244417</v>
      </c>
      <c r="U736" s="226"/>
      <c r="V736" s="226">
        <f t="shared" si="500"/>
        <v>384.04709099244417</v>
      </c>
      <c r="W736" s="228"/>
      <c r="X736" s="226"/>
      <c r="Y736" s="226"/>
      <c r="Z736" s="224"/>
      <c r="AA736" s="226"/>
      <c r="AB736" s="226"/>
      <c r="AC736" s="226"/>
      <c r="AD736" s="226"/>
      <c r="AE736" s="227">
        <v>1786</v>
      </c>
      <c r="AF736" s="227">
        <v>1349.2696272549999</v>
      </c>
      <c r="AG736" s="226" t="s">
        <v>155</v>
      </c>
      <c r="AH736" s="229">
        <v>0.73699999999999999</v>
      </c>
      <c r="AI736" s="225">
        <f t="shared" si="501"/>
        <v>994.41171528693496</v>
      </c>
      <c r="AJ736" s="226">
        <f t="shared" si="502"/>
        <v>1.9791263506622778E-2</v>
      </c>
      <c r="AK736" s="226"/>
      <c r="AL736" s="226">
        <f t="shared" si="503"/>
        <v>176.12035180008664</v>
      </c>
      <c r="AM736" s="228">
        <f t="shared" si="504"/>
        <v>237633.84142532235</v>
      </c>
      <c r="AN736" s="226"/>
      <c r="AO736" s="227">
        <v>1.9498293515358001</v>
      </c>
      <c r="AP736" s="225"/>
      <c r="AQ736" s="226">
        <f t="shared" si="505"/>
        <v>2630.845522357567</v>
      </c>
      <c r="AR736" s="226">
        <f t="shared" si="506"/>
        <v>2.7991923838199297E-3</v>
      </c>
      <c r="AS736" s="228">
        <f>AR736*'DADOS BASE'!W$38</f>
        <v>839687.08507711696</v>
      </c>
      <c r="AT736" s="225"/>
      <c r="AU736" s="227">
        <v>0.48749999999999999</v>
      </c>
      <c r="AV736" s="227">
        <v>3.25</v>
      </c>
      <c r="AW736" s="226">
        <f t="shared" si="507"/>
        <v>0.121875</v>
      </c>
      <c r="AX736" s="226">
        <f>IF($AW$11&gt;0,(AW736/$AW$11)*'DADOS BASE'!W$40,0)</f>
        <v>21.898058114054141</v>
      </c>
      <c r="AY736" s="226">
        <f t="shared" si="508"/>
        <v>0.23763545221842564</v>
      </c>
      <c r="AZ736" s="226">
        <f t="shared" si="509"/>
        <v>1.2428409119731279E-5</v>
      </c>
      <c r="BA736" s="226">
        <f>AZ736*'DADOS BASE'!W$41</f>
        <v>91.819269170688329</v>
      </c>
      <c r="BB736" s="225"/>
      <c r="BC736" s="227">
        <v>0</v>
      </c>
      <c r="BD736" s="226">
        <f>IF($BC$11&gt;0,(BC736/$BC$11)*'DADOS BASE'!W$39,0)</f>
        <v>0</v>
      </c>
      <c r="BE736" s="187"/>
    </row>
    <row r="737" spans="2:57" x14ac:dyDescent="0.3">
      <c r="B737" s="184" t="s">
        <v>804</v>
      </c>
      <c r="C737" s="184" t="s">
        <v>822</v>
      </c>
      <c r="D737" s="184" t="s">
        <v>94</v>
      </c>
      <c r="E737" s="184">
        <v>2010</v>
      </c>
      <c r="F737" s="185"/>
      <c r="H737" s="186">
        <f ca="1">IF(AND(E737&gt;=2018,SUMIF('DADOS BASE'!$C$101:$D$104,D737,'DADOS BASE'!$H$101:$H$104)&gt;J737),
SUMIF('DADOS BASE'!$C$101:$D$104,D737,'DADOS BASE'!$H$101:$H$104),
J737)</f>
        <v>2011197.8407673941</v>
      </c>
      <c r="J737" s="186">
        <f t="shared" si="498"/>
        <v>2011197.8407673941</v>
      </c>
      <c r="K737" s="186"/>
      <c r="L737" s="188">
        <v>1997.3392745868</v>
      </c>
      <c r="M737" s="186">
        <f t="shared" si="499"/>
        <v>1.5582315377508527E-3</v>
      </c>
      <c r="N737" s="186">
        <f>L737*'DADOS BASE'!$I$29</f>
        <v>1966852.1490513314</v>
      </c>
      <c r="O737" s="187"/>
      <c r="P737" s="188">
        <v>21.024590163934</v>
      </c>
      <c r="Q737" s="186">
        <f>P737*'DADOS BASE'!$I$33</f>
        <v>5175.9183921584672</v>
      </c>
      <c r="R737" s="186"/>
      <c r="S737" s="188">
        <v>49.721153846154003</v>
      </c>
      <c r="T737" s="186">
        <f>S737*'DADOS BASE'!$I$37</f>
        <v>39169.773323904046</v>
      </c>
      <c r="U737" s="186"/>
      <c r="V737" s="186">
        <f t="shared" si="500"/>
        <v>44345.691716062516</v>
      </c>
      <c r="W737" s="187"/>
      <c r="X737" s="186"/>
      <c r="Y737" s="186"/>
      <c r="Z737" s="185"/>
      <c r="AA737" s="186"/>
      <c r="AB737" s="186"/>
      <c r="AC737" s="186"/>
      <c r="AD737" s="186"/>
      <c r="AE737" s="188">
        <v>1495</v>
      </c>
      <c r="AF737" s="188">
        <v>916.92261068403002</v>
      </c>
      <c r="AG737" s="186" t="s">
        <v>155</v>
      </c>
      <c r="AH737" s="189">
        <v>0.76300000000000001</v>
      </c>
      <c r="AI737" s="183">
        <f t="shared" si="501"/>
        <v>699.61195195191488</v>
      </c>
      <c r="AJ737" s="186">
        <f t="shared" si="502"/>
        <v>5.4859909146697611E-2</v>
      </c>
      <c r="AK737" s="186"/>
      <c r="AL737" s="186">
        <f t="shared" si="503"/>
        <v>169.81934470094794</v>
      </c>
      <c r="AM737" s="187">
        <f t="shared" si="504"/>
        <v>155711.19688784439</v>
      </c>
      <c r="AN737" s="186"/>
      <c r="AO737" s="188">
        <v>1.8518237082066999</v>
      </c>
      <c r="AQ737" s="186">
        <f t="shared" si="505"/>
        <v>1697.9790290554688</v>
      </c>
      <c r="AR737" s="186">
        <f t="shared" si="506"/>
        <v>1.80663209817001E-3</v>
      </c>
      <c r="AS737" s="187">
        <f>AR737*'DADOS BASE'!W$38</f>
        <v>541944.04396347469</v>
      </c>
      <c r="AU737" s="188">
        <v>49.721153846154003</v>
      </c>
      <c r="AV737" s="188">
        <v>73.5</v>
      </c>
      <c r="AW737" s="186">
        <f t="shared" si="507"/>
        <v>12.430288461538501</v>
      </c>
      <c r="AX737" s="186">
        <f>IF($AW$11&gt;0,(AW737/$AW$11)*'DADOS BASE'!W$40,0)</f>
        <v>2233.4291618890402</v>
      </c>
      <c r="AY737" s="186">
        <f t="shared" si="508"/>
        <v>23.018702872925182</v>
      </c>
      <c r="AZ737" s="186">
        <f t="shared" si="509"/>
        <v>1.2038854221435298E-3</v>
      </c>
      <c r="BA737" s="186">
        <f>AZ737*'DADOS BASE'!W$41</f>
        <v>8894.129454667851</v>
      </c>
      <c r="BC737" s="188">
        <v>0</v>
      </c>
      <c r="BD737" s="186">
        <f>IF($BC$11&gt;0,(BC737/$BC$11)*'DADOS BASE'!W$39,0)</f>
        <v>0</v>
      </c>
      <c r="BE737" s="187"/>
    </row>
    <row r="738" spans="2:57" x14ac:dyDescent="0.3">
      <c r="B738" s="223" t="s">
        <v>804</v>
      </c>
      <c r="C738" s="223" t="s">
        <v>823</v>
      </c>
      <c r="D738" s="223" t="s">
        <v>94</v>
      </c>
      <c r="E738" s="223">
        <v>2009</v>
      </c>
      <c r="F738" s="224"/>
      <c r="G738" s="225"/>
      <c r="H738" s="226">
        <f ca="1">IF(AND(E738&gt;=2018,SUMIF('DADOS BASE'!$C$101:$D$104,D738,'DADOS BASE'!$H$101:$H$104)&gt;J738),
SUMIF('DADOS BASE'!$C$101:$D$104,D738,'DADOS BASE'!$H$101:$H$104),
J738)</f>
        <v>2021035.8672513703</v>
      </c>
      <c r="I738" s="225"/>
      <c r="J738" s="226">
        <f t="shared" si="498"/>
        <v>2021035.8672513703</v>
      </c>
      <c r="K738" s="226"/>
      <c r="L738" s="227">
        <v>2048.2501990204</v>
      </c>
      <c r="M738" s="226">
        <f t="shared" si="499"/>
        <v>1.5979498815885053E-3</v>
      </c>
      <c r="N738" s="226">
        <f>L738*'DADOS BASE'!$I$29</f>
        <v>2016985.9757909731</v>
      </c>
      <c r="O738" s="228"/>
      <c r="P738" s="227">
        <v>0</v>
      </c>
      <c r="Q738" s="226">
        <f>P738*'DADOS BASE'!$I$33</f>
        <v>0</v>
      </c>
      <c r="R738" s="226"/>
      <c r="S738" s="227">
        <v>5.1408333333333003</v>
      </c>
      <c r="T738" s="226">
        <f>S738*'DADOS BASE'!$I$37</f>
        <v>4049.8914603972189</v>
      </c>
      <c r="U738" s="226"/>
      <c r="V738" s="226">
        <f t="shared" si="500"/>
        <v>4049.8914603972189</v>
      </c>
      <c r="W738" s="228"/>
      <c r="X738" s="226"/>
      <c r="Y738" s="226"/>
      <c r="Z738" s="224"/>
      <c r="AA738" s="226"/>
      <c r="AB738" s="226"/>
      <c r="AC738" s="226"/>
      <c r="AD738" s="226"/>
      <c r="AE738" s="227">
        <v>1229</v>
      </c>
      <c r="AF738" s="227">
        <v>937.58960870414001</v>
      </c>
      <c r="AG738" s="226" t="s">
        <v>155</v>
      </c>
      <c r="AH738" s="229">
        <v>0.75600000000000001</v>
      </c>
      <c r="AI738" s="225">
        <f t="shared" si="501"/>
        <v>708.8177441803299</v>
      </c>
      <c r="AJ738" s="226">
        <f t="shared" si="502"/>
        <v>4.5418350705139006E-2</v>
      </c>
      <c r="AK738" s="226"/>
      <c r="AL738" s="226">
        <f t="shared" si="503"/>
        <v>171.51576968917757</v>
      </c>
      <c r="AM738" s="228">
        <f t="shared" si="504"/>
        <v>160811.40338946541</v>
      </c>
      <c r="AN738" s="226"/>
      <c r="AO738" s="227">
        <v>1.775406504065</v>
      </c>
      <c r="AP738" s="225"/>
      <c r="AQ738" s="226">
        <f t="shared" si="505"/>
        <v>1664.6026894370884</v>
      </c>
      <c r="AR738" s="226">
        <f t="shared" si="506"/>
        <v>1.7711200185493734E-3</v>
      </c>
      <c r="AS738" s="228">
        <f>AR738*'DADOS BASE'!W$38</f>
        <v>531291.3161288175</v>
      </c>
      <c r="AT738" s="225"/>
      <c r="AU738" s="227">
        <v>5.1408333333333003</v>
      </c>
      <c r="AV738" s="227">
        <v>20.75</v>
      </c>
      <c r="AW738" s="226">
        <f t="shared" si="507"/>
        <v>1.2852083333333251</v>
      </c>
      <c r="AX738" s="226">
        <f>IF($AW$11&gt;0,(AW738/$AW$11)*'DADOS BASE'!W$40,0)</f>
        <v>230.92157351384469</v>
      </c>
      <c r="AY738" s="226">
        <f t="shared" si="508"/>
        <v>2.281767234078524</v>
      </c>
      <c r="AZ738" s="226">
        <f t="shared" si="509"/>
        <v>1.1933714618919425E-4</v>
      </c>
      <c r="BA738" s="226">
        <f>AZ738*'DADOS BASE'!W$41</f>
        <v>881.64538537852115</v>
      </c>
      <c r="BB738" s="225"/>
      <c r="BC738" s="227">
        <v>0</v>
      </c>
      <c r="BD738" s="226">
        <f>IF($BC$11&gt;0,(BC738/$BC$11)*'DADOS BASE'!W$39,0)</f>
        <v>0</v>
      </c>
      <c r="BE738" s="187"/>
    </row>
    <row r="739" spans="2:57" x14ac:dyDescent="0.3">
      <c r="B739" s="184" t="s">
        <v>804</v>
      </c>
      <c r="C739" s="184" t="s">
        <v>824</v>
      </c>
      <c r="D739" s="184" t="s">
        <v>94</v>
      </c>
      <c r="E739" s="184">
        <v>2016</v>
      </c>
      <c r="F739" s="185"/>
      <c r="H739" s="186">
        <f ca="1">IF(AND(E739&gt;=2018,SUMIF('DADOS BASE'!$C$101:$D$104,D739,'DADOS BASE'!$H$101:$H$104)&gt;J739),
SUMIF('DADOS BASE'!$C$101:$D$104,D739,'DADOS BASE'!$H$101:$H$104),
J739)</f>
        <v>2255099.690869282</v>
      </c>
      <c r="J739" s="186">
        <f t="shared" si="498"/>
        <v>2255099.690869282</v>
      </c>
      <c r="K739" s="186"/>
      <c r="L739" s="188">
        <v>2286.3417108017002</v>
      </c>
      <c r="M739" s="186">
        <f>L739/$L$11</f>
        <v>1.7836978450160765E-3</v>
      </c>
      <c r="N739" s="186">
        <f>L739*'DADOS BASE'!$I$29</f>
        <v>2251443.2898668745</v>
      </c>
      <c r="O739" s="187"/>
      <c r="P739" s="188">
        <v>0</v>
      </c>
      <c r="Q739" s="186">
        <f>P739*'DADOS BASE'!$I$33</f>
        <v>0</v>
      </c>
      <c r="R739" s="186"/>
      <c r="S739" s="188">
        <v>4.6413461538462002</v>
      </c>
      <c r="T739" s="186">
        <f>S739*'DADOS BASE'!$I$37</f>
        <v>3656.40100240739</v>
      </c>
      <c r="U739" s="186"/>
      <c r="V739" s="186">
        <f t="shared" si="500"/>
        <v>3656.40100240739</v>
      </c>
      <c r="W739" s="187"/>
      <c r="X739" s="186"/>
      <c r="Y739" s="186"/>
      <c r="Z739" s="185"/>
      <c r="AA739" s="186"/>
      <c r="AB739" s="186"/>
      <c r="AC739" s="186"/>
      <c r="AD739" s="186"/>
      <c r="AE739" s="188">
        <v>1326</v>
      </c>
      <c r="AF739" s="188">
        <v>1005.7198495187999</v>
      </c>
      <c r="AG739" s="186" t="s">
        <v>155</v>
      </c>
      <c r="AH739" s="189">
        <v>0.76300000000000001</v>
      </c>
      <c r="AI739" s="183">
        <f t="shared" si="501"/>
        <v>767.36424518284434</v>
      </c>
      <c r="AJ739" s="186">
        <f t="shared" si="502"/>
        <v>5.4859909146697611E-2</v>
      </c>
      <c r="AK739" s="186"/>
      <c r="AL739" s="186">
        <f t="shared" si="503"/>
        <v>169.81934470094794</v>
      </c>
      <c r="AM739" s="187">
        <f t="shared" si="504"/>
        <v>170790.68579801859</v>
      </c>
      <c r="AN739" s="186"/>
      <c r="AO739" s="188">
        <v>1.8799019607842999</v>
      </c>
      <c r="AQ739" s="186">
        <f t="shared" si="505"/>
        <v>1890.6547171100831</v>
      </c>
      <c r="AR739" s="186">
        <f t="shared" si="506"/>
        <v>2.0116370344029928E-3</v>
      </c>
      <c r="AS739" s="187">
        <f>AR739*'DADOS BASE'!W$38</f>
        <v>603440.35208681342</v>
      </c>
      <c r="AU739" s="188">
        <v>4.6413461538462002</v>
      </c>
      <c r="AV739" s="188">
        <v>23.25</v>
      </c>
      <c r="AW739" s="186">
        <f t="shared" si="507"/>
        <v>1.16033653846155</v>
      </c>
      <c r="AX739" s="186">
        <f>IF($AW$11&gt;0,(AW739/$AW$11)*'DADOS BASE'!W$40,0)</f>
        <v>208.48506216280157</v>
      </c>
      <c r="AY739" s="186">
        <f t="shared" si="508"/>
        <v>2.181318933823535</v>
      </c>
      <c r="AZ739" s="186">
        <f t="shared" si="509"/>
        <v>1.1408366839665042E-4</v>
      </c>
      <c r="BA739" s="186">
        <f>AZ739*'DADOS BASE'!W$41</f>
        <v>842.83345966310458</v>
      </c>
      <c r="BC739" s="188">
        <v>0</v>
      </c>
      <c r="BD739" s="186">
        <f>IF($BC$11&gt;0,(BC739/$BC$11)*'DADOS BASE'!W$39,0)</f>
        <v>0</v>
      </c>
      <c r="BE739" s="187"/>
    </row>
    <row r="740" spans="2:57" x14ac:dyDescent="0.3">
      <c r="B740" s="223" t="s">
        <v>804</v>
      </c>
      <c r="C740" s="223" t="s">
        <v>825</v>
      </c>
      <c r="D740" s="223" t="s">
        <v>94</v>
      </c>
      <c r="E740" s="223">
        <v>2015</v>
      </c>
      <c r="F740" s="224"/>
      <c r="G740" s="225"/>
      <c r="H740" s="226">
        <f ca="1">IF(AND(E740&gt;=2018,SUMIF('DADOS BASE'!$C$101:$D$104,D740,'DADOS BASE'!$H$101:$H$104)&gt;J740),
SUMIF('DADOS BASE'!$C$101:$D$104,D740,'DADOS BASE'!$H$101:$H$104),
J740)</f>
        <v>1338509.6174784556</v>
      </c>
      <c r="I740" s="225"/>
      <c r="J740" s="226">
        <f t="shared" si="498"/>
        <v>1338509.6174784556</v>
      </c>
      <c r="K740" s="226"/>
      <c r="L740" s="227">
        <v>1353.0730117917999</v>
      </c>
      <c r="M740" s="226">
        <f t="shared" si="499"/>
        <v>1.0556048572617639E-3</v>
      </c>
      <c r="N740" s="226">
        <f>L740*'DADOS BASE'!$I$29</f>
        <v>1332419.8822539125</v>
      </c>
      <c r="O740" s="228"/>
      <c r="P740" s="227">
        <v>0</v>
      </c>
      <c r="Q740" s="226">
        <f>P740*'DADOS BASE'!$I$33</f>
        <v>0</v>
      </c>
      <c r="R740" s="226"/>
      <c r="S740" s="227">
        <v>7.7301612005263998</v>
      </c>
      <c r="T740" s="226">
        <f>S740*'DADOS BASE'!$I$37</f>
        <v>6089.7352245432285</v>
      </c>
      <c r="U740" s="226"/>
      <c r="V740" s="226">
        <f t="shared" si="500"/>
        <v>6089.7352245432285</v>
      </c>
      <c r="W740" s="228"/>
      <c r="X740" s="226"/>
      <c r="Y740" s="226"/>
      <c r="Z740" s="224"/>
      <c r="AA740" s="226"/>
      <c r="AB740" s="226"/>
      <c r="AC740" s="226"/>
      <c r="AD740" s="226"/>
      <c r="AE740" s="227">
        <v>655</v>
      </c>
      <c r="AF740" s="227">
        <v>541.97170471672996</v>
      </c>
      <c r="AG740" s="226" t="s">
        <v>155</v>
      </c>
      <c r="AH740" s="229">
        <v>0.71399999999999997</v>
      </c>
      <c r="AI740" s="225">
        <f t="shared" si="501"/>
        <v>386.96779716774518</v>
      </c>
      <c r="AJ740" s="226">
        <f t="shared" si="502"/>
        <v>-1.1230999944212651E-2</v>
      </c>
      <c r="AK740" s="226"/>
      <c r="AL740" s="226">
        <f t="shared" si="503"/>
        <v>181.69431961855551</v>
      </c>
      <c r="AM740" s="228">
        <f t="shared" si="504"/>
        <v>98473.18014101492</v>
      </c>
      <c r="AN740" s="226"/>
      <c r="AO740" s="227">
        <v>1.9222222222222001</v>
      </c>
      <c r="AP740" s="225"/>
      <c r="AQ740" s="226">
        <f t="shared" si="505"/>
        <v>1041.7900546221467</v>
      </c>
      <c r="AR740" s="226">
        <f t="shared" si="506"/>
        <v>1.108453826595036E-3</v>
      </c>
      <c r="AS740" s="228">
        <f>AR740*'DADOS BASE'!W$38</f>
        <v>332508.1791362993</v>
      </c>
      <c r="AT740" s="225"/>
      <c r="AU740" s="227">
        <v>7.7301612005263998</v>
      </c>
      <c r="AV740" s="227">
        <v>32</v>
      </c>
      <c r="AW740" s="226">
        <f t="shared" si="507"/>
        <v>1.9325403001315999</v>
      </c>
      <c r="AX740" s="226">
        <f>IF($AW$11&gt;0,(AW740/$AW$11)*'DADOS BASE'!W$40,0)</f>
        <v>347.23183425668441</v>
      </c>
      <c r="AY740" s="226">
        <f t="shared" si="508"/>
        <v>3.7147719102529213</v>
      </c>
      <c r="AZ740" s="226">
        <f t="shared" si="509"/>
        <v>1.9428374283426552E-4</v>
      </c>
      <c r="BA740" s="226">
        <f>AZ740*'DADOS BASE'!W$41</f>
        <v>1435.339881953767</v>
      </c>
      <c r="BB740" s="225"/>
      <c r="BC740" s="227">
        <v>0</v>
      </c>
      <c r="BD740" s="226">
        <f>IF($BC$11&gt;0,(BC740/$BC$11)*'DADOS BASE'!W$39,0)</f>
        <v>0</v>
      </c>
      <c r="BE740" s="187"/>
    </row>
    <row r="741" spans="2:57" x14ac:dyDescent="0.3">
      <c r="B741" s="184" t="s">
        <v>804</v>
      </c>
      <c r="C741" s="184" t="s">
        <v>826</v>
      </c>
      <c r="D741" s="184" t="s">
        <v>94</v>
      </c>
      <c r="E741" s="184">
        <v>2013</v>
      </c>
      <c r="F741" s="185"/>
      <c r="H741" s="186">
        <f ca="1">IF(AND(E741&gt;=2018,SUMIF('DADOS BASE'!$C$101:$D$104,D741,'DADOS BASE'!$H$101:$H$104)&gt;J741),
SUMIF('DADOS BASE'!$C$101:$D$104,D741,'DADOS BASE'!$H$101:$H$104),
J741)</f>
        <v>1849811.5099423511</v>
      </c>
      <c r="J741" s="186">
        <f t="shared" si="498"/>
        <v>1849811.5099423511</v>
      </c>
      <c r="K741" s="186"/>
      <c r="L741" s="188">
        <v>1876.1784509907</v>
      </c>
      <c r="M741" s="186">
        <f t="shared" si="499"/>
        <v>1.463707478233539E-3</v>
      </c>
      <c r="N741" s="186">
        <f>L741*'DADOS BASE'!$I$29</f>
        <v>1847540.708424842</v>
      </c>
      <c r="O741" s="187"/>
      <c r="P741" s="188">
        <v>0</v>
      </c>
      <c r="Q741" s="186">
        <f>P741*'DADOS BASE'!$I$33</f>
        <v>0</v>
      </c>
      <c r="R741" s="186"/>
      <c r="S741" s="188">
        <v>2.8824999999999998</v>
      </c>
      <c r="T741" s="186">
        <f>S741*'DADOS BASE'!$I$37</f>
        <v>2270.80151750917</v>
      </c>
      <c r="U741" s="186"/>
      <c r="V741" s="186">
        <f t="shared" si="500"/>
        <v>2270.80151750917</v>
      </c>
      <c r="W741" s="187"/>
      <c r="X741" s="186"/>
      <c r="Y741" s="186"/>
      <c r="Z741" s="185"/>
      <c r="AA741" s="186"/>
      <c r="AB741" s="186"/>
      <c r="AC741" s="186"/>
      <c r="AD741" s="186"/>
      <c r="AE741" s="188">
        <v>1555</v>
      </c>
      <c r="AF741" s="188">
        <v>1069.0713894881001</v>
      </c>
      <c r="AG741" s="186" t="s">
        <v>155</v>
      </c>
      <c r="AH741" s="189">
        <v>0.77700000000000002</v>
      </c>
      <c r="AI741" s="183">
        <f t="shared" si="501"/>
        <v>830.66846963225373</v>
      </c>
      <c r="AJ741" s="186">
        <f t="shared" si="502"/>
        <v>7.3743026029814834E-2</v>
      </c>
      <c r="AK741" s="186"/>
      <c r="AL741" s="186">
        <f t="shared" si="503"/>
        <v>166.42649472448863</v>
      </c>
      <c r="AM741" s="187">
        <f t="shared" si="504"/>
        <v>177921.80396274303</v>
      </c>
      <c r="AN741" s="186"/>
      <c r="AO741" s="188">
        <v>1.8633027522936001</v>
      </c>
      <c r="AQ741" s="186">
        <f t="shared" si="505"/>
        <v>1992.0036624315203</v>
      </c>
      <c r="AR741" s="186">
        <f t="shared" si="506"/>
        <v>2.119471262388269E-3</v>
      </c>
      <c r="AS741" s="187">
        <f>AR741*'DADOS BASE'!W$38</f>
        <v>635787.89957654069</v>
      </c>
      <c r="AU741" s="188">
        <v>2.8824999999999998</v>
      </c>
      <c r="AV741" s="188">
        <v>8.5</v>
      </c>
      <c r="AW741" s="186">
        <f t="shared" si="507"/>
        <v>0.72062499999999996</v>
      </c>
      <c r="AX741" s="186">
        <f>IF($AW$11&gt;0,(AW741/$AW$11)*'DADOS BASE'!W$40,0)</f>
        <v>129.479287207715</v>
      </c>
      <c r="AY741" s="186">
        <f t="shared" si="508"/>
        <v>1.3427425458715756</v>
      </c>
      <c r="AZ741" s="186">
        <f t="shared" si="509"/>
        <v>7.0225858754536163E-5</v>
      </c>
      <c r="BA741" s="186">
        <f>AZ741*'DADOS BASE'!W$41</f>
        <v>518.81837535333023</v>
      </c>
      <c r="BC741" s="188">
        <v>0</v>
      </c>
      <c r="BD741" s="186">
        <f>IF($BC$11&gt;0,(BC741/$BC$11)*'DADOS BASE'!W$39,0)</f>
        <v>0</v>
      </c>
      <c r="BE741" s="187"/>
    </row>
    <row r="742" spans="2:57" x14ac:dyDescent="0.3">
      <c r="B742" s="223" t="s">
        <v>804</v>
      </c>
      <c r="C742" s="223" t="s">
        <v>827</v>
      </c>
      <c r="D742" s="223" t="s">
        <v>94</v>
      </c>
      <c r="E742" s="223">
        <v>2009</v>
      </c>
      <c r="F742" s="224"/>
      <c r="G742" s="225"/>
      <c r="H742" s="226">
        <f ca="1">IF(AND(E742&gt;=2018,SUMIF('DADOS BASE'!$C$101:$D$104,D742,'DADOS BASE'!$H$101:$H$104)&gt;J742),
SUMIF('DADOS BASE'!$C$101:$D$104,D742,'DADOS BASE'!$H$101:$H$104),
J742)</f>
        <v>2863415.471998313</v>
      </c>
      <c r="I742" s="225"/>
      <c r="J742" s="226">
        <f t="shared" si="498"/>
        <v>2863415.471998313</v>
      </c>
      <c r="K742" s="226"/>
      <c r="L742" s="227">
        <v>2905.0228240674001</v>
      </c>
      <c r="M742" s="226">
        <f t="shared" si="499"/>
        <v>2.2663641775553288E-3</v>
      </c>
      <c r="N742" s="226">
        <f>L742*'DADOS BASE'!$I$29</f>
        <v>2860680.9355121539</v>
      </c>
      <c r="O742" s="228"/>
      <c r="P742" s="227">
        <v>0</v>
      </c>
      <c r="Q742" s="226">
        <f>P742*'DADOS BASE'!$I$33</f>
        <v>0</v>
      </c>
      <c r="R742" s="226"/>
      <c r="S742" s="227">
        <v>3.4711538461538001</v>
      </c>
      <c r="T742" s="226">
        <f>S742*'DADOS BASE'!$I$37</f>
        <v>2734.5364861591815</v>
      </c>
      <c r="U742" s="226"/>
      <c r="V742" s="226">
        <f t="shared" si="500"/>
        <v>2734.5364861591815</v>
      </c>
      <c r="W742" s="228"/>
      <c r="X742" s="226"/>
      <c r="Y742" s="226"/>
      <c r="Z742" s="224"/>
      <c r="AA742" s="226"/>
      <c r="AB742" s="226"/>
      <c r="AC742" s="226"/>
      <c r="AD742" s="226"/>
      <c r="AE742" s="227">
        <v>1233</v>
      </c>
      <c r="AF742" s="227">
        <v>1084.2362669356</v>
      </c>
      <c r="AG742" s="226" t="s">
        <v>155</v>
      </c>
      <c r="AH742" s="229">
        <v>0.77300000000000002</v>
      </c>
      <c r="AI742" s="225">
        <f t="shared" si="501"/>
        <v>838.1146343412189</v>
      </c>
      <c r="AJ742" s="226">
        <f t="shared" si="502"/>
        <v>6.8347849777495626E-2</v>
      </c>
      <c r="AK742" s="226"/>
      <c r="AL742" s="226">
        <f t="shared" si="503"/>
        <v>167.39588043204844</v>
      </c>
      <c r="AM742" s="228">
        <f t="shared" si="504"/>
        <v>181496.68450004226</v>
      </c>
      <c r="AN742" s="226"/>
      <c r="AO742" s="227">
        <v>1.8292134831461</v>
      </c>
      <c r="AP742" s="225"/>
      <c r="AQ742" s="226">
        <f t="shared" si="505"/>
        <v>1983.2995983945937</v>
      </c>
      <c r="AR742" s="226">
        <f t="shared" si="506"/>
        <v>2.1102102284152016E-3</v>
      </c>
      <c r="AS742" s="228">
        <f>AR742*'DADOS BASE'!W$38</f>
        <v>633009.82306183071</v>
      </c>
      <c r="AT742" s="225"/>
      <c r="AU742" s="227">
        <v>3.4711538461538001</v>
      </c>
      <c r="AV742" s="227">
        <v>25</v>
      </c>
      <c r="AW742" s="226">
        <f t="shared" si="507"/>
        <v>0.86778846153845002</v>
      </c>
      <c r="AX742" s="226">
        <f>IF($AW$11&gt;0,(AW742/$AW$11)*'DADOS BASE'!W$40,0)</f>
        <v>155.92108440184302</v>
      </c>
      <c r="AY742" s="226">
        <f t="shared" si="508"/>
        <v>1.5873703543647435</v>
      </c>
      <c r="AZ742" s="226">
        <f t="shared" si="509"/>
        <v>8.3019970313369582E-5</v>
      </c>
      <c r="BA742" s="226">
        <f>AZ742*'DADOS BASE'!W$41</f>
        <v>613.33940066744867</v>
      </c>
      <c r="BB742" s="225"/>
      <c r="BC742" s="227">
        <v>0</v>
      </c>
      <c r="BD742" s="226">
        <f>IF($BC$11&gt;0,(BC742/$BC$11)*'DADOS BASE'!W$39,0)</f>
        <v>0</v>
      </c>
      <c r="BE742" s="187"/>
    </row>
    <row r="743" spans="2:57" x14ac:dyDescent="0.3">
      <c r="B743" s="184" t="s">
        <v>804</v>
      </c>
      <c r="C743" s="184" t="s">
        <v>828</v>
      </c>
      <c r="D743" s="184" t="s">
        <v>94</v>
      </c>
      <c r="E743" s="184">
        <v>2010</v>
      </c>
      <c r="F743" s="185"/>
      <c r="H743" s="186">
        <f ca="1">IF(AND(E743&gt;=2018,SUMIF('DADOS BASE'!$C$101:$D$104,D743,'DADOS BASE'!$H$101:$H$104)&gt;J743),
SUMIF('DADOS BASE'!$C$101:$D$104,D743,'DADOS BASE'!$H$101:$H$104),
J743)</f>
        <v>2542579.2453636173</v>
      </c>
      <c r="J743" s="186">
        <f t="shared" si="498"/>
        <v>2542579.2453636173</v>
      </c>
      <c r="K743" s="186"/>
      <c r="L743" s="188">
        <v>2572.2277722499002</v>
      </c>
      <c r="M743" s="186">
        <f t="shared" si="499"/>
        <v>2.006732901112954E-3</v>
      </c>
      <c r="N743" s="186">
        <f>L743*'DADOS BASE'!$I$29</f>
        <v>2532965.6238526907</v>
      </c>
      <c r="O743" s="187"/>
      <c r="P743" s="188">
        <v>0</v>
      </c>
      <c r="Q743" s="186">
        <f>P743*'DADOS BASE'!$I$33</f>
        <v>0</v>
      </c>
      <c r="R743" s="186"/>
      <c r="S743" s="188">
        <v>12.203296409472999</v>
      </c>
      <c r="T743" s="186">
        <f>S743*'DADOS BASE'!$I$37</f>
        <v>9613.6215109264504</v>
      </c>
      <c r="U743" s="186"/>
      <c r="V743" s="186">
        <f t="shared" si="500"/>
        <v>9613.6215109264504</v>
      </c>
      <c r="W743" s="187"/>
      <c r="X743" s="186"/>
      <c r="Y743" s="186"/>
      <c r="Z743" s="185"/>
      <c r="AA743" s="186"/>
      <c r="AB743" s="186"/>
      <c r="AC743" s="186"/>
      <c r="AD743" s="186"/>
      <c r="AE743" s="188">
        <v>1545</v>
      </c>
      <c r="AF743" s="188">
        <v>1096.5254528871001</v>
      </c>
      <c r="AG743" s="186" t="s">
        <v>155</v>
      </c>
      <c r="AH743" s="189">
        <v>0.78500000000000003</v>
      </c>
      <c r="AI743" s="183">
        <f t="shared" si="501"/>
        <v>860.77248051637355</v>
      </c>
      <c r="AJ743" s="186">
        <f t="shared" si="502"/>
        <v>8.4533378534453238E-2</v>
      </c>
      <c r="AK743" s="186"/>
      <c r="AL743" s="186">
        <f t="shared" si="503"/>
        <v>164.48772330936902</v>
      </c>
      <c r="AM743" s="187">
        <f t="shared" si="504"/>
        <v>180364.97529617386</v>
      </c>
      <c r="AN743" s="186"/>
      <c r="AO743" s="188">
        <v>1.6871750433276</v>
      </c>
      <c r="AQ743" s="186">
        <f t="shared" si="505"/>
        <v>1850.0303784846094</v>
      </c>
      <c r="AR743" s="186">
        <f t="shared" si="506"/>
        <v>1.9684131589181851E-3</v>
      </c>
      <c r="AS743" s="187">
        <f>AR743*'DADOS BASE'!W$38</f>
        <v>590474.28007927071</v>
      </c>
      <c r="AU743" s="188">
        <v>12.203296409472999</v>
      </c>
      <c r="AV743" s="188">
        <v>47.5</v>
      </c>
      <c r="AW743" s="186">
        <f t="shared" si="507"/>
        <v>3.0508241023682499</v>
      </c>
      <c r="AX743" s="186">
        <f>IF($AW$11&gt;0,(AW743/$AW$11)*'DADOS BASE'!W$40,0)</f>
        <v>548.16101324649844</v>
      </c>
      <c r="AY743" s="186">
        <f t="shared" si="508"/>
        <v>5.1472742870980381</v>
      </c>
      <c r="AZ743" s="186">
        <f t="shared" si="509"/>
        <v>2.6920406906595108E-4</v>
      </c>
      <c r="BA743" s="186">
        <f>AZ743*'DADOS BASE'!W$41</f>
        <v>1988.8402965564412</v>
      </c>
      <c r="BC743" s="188">
        <v>0</v>
      </c>
      <c r="BD743" s="186">
        <f>IF($BC$11&gt;0,(BC743/$BC$11)*'DADOS BASE'!W$39,0)</f>
        <v>0</v>
      </c>
      <c r="BE743" s="187"/>
    </row>
    <row r="744" spans="2:57" x14ac:dyDescent="0.3">
      <c r="B744" s="223" t="s">
        <v>804</v>
      </c>
      <c r="C744" s="223" t="s">
        <v>829</v>
      </c>
      <c r="D744" s="223" t="s">
        <v>94</v>
      </c>
      <c r="E744" s="223">
        <v>2010</v>
      </c>
      <c r="F744" s="224"/>
      <c r="G744" s="225"/>
      <c r="H744" s="226">
        <f ca="1">IF(AND(E744&gt;=2018,SUMIF('DADOS BASE'!$C$101:$D$104,D744,'DADOS BASE'!$H$101:$H$104)&gt;J744),
SUMIF('DADOS BASE'!$C$101:$D$104,D744,'DADOS BASE'!$H$101:$H$104),
J744)</f>
        <v>2070567.8559238482</v>
      </c>
      <c r="I744" s="225"/>
      <c r="J744" s="226">
        <f t="shared" si="498"/>
        <v>2070567.8559238482</v>
      </c>
      <c r="K744" s="226"/>
      <c r="L744" s="227">
        <v>2102.5226232827999</v>
      </c>
      <c r="M744" s="226">
        <f t="shared" si="499"/>
        <v>1.6402907118079288E-3</v>
      </c>
      <c r="N744" s="226">
        <f>L744*'DADOS BASE'!$I$29</f>
        <v>2070429.9928655433</v>
      </c>
      <c r="O744" s="228"/>
      <c r="P744" s="227">
        <v>0</v>
      </c>
      <c r="Q744" s="226">
        <f>P744*'DADOS BASE'!$I$33</f>
        <v>0</v>
      </c>
      <c r="R744" s="226"/>
      <c r="S744" s="227">
        <v>0.17499999999999999</v>
      </c>
      <c r="T744" s="226">
        <f>S744*'DADOS BASE'!$I$37</f>
        <v>137.86305830497997</v>
      </c>
      <c r="U744" s="226"/>
      <c r="V744" s="226">
        <f t="shared" si="500"/>
        <v>137.86305830497997</v>
      </c>
      <c r="W744" s="228"/>
      <c r="X744" s="226"/>
      <c r="Y744" s="226"/>
      <c r="Z744" s="224"/>
      <c r="AA744" s="226"/>
      <c r="AB744" s="226"/>
      <c r="AC744" s="226"/>
      <c r="AD744" s="226"/>
      <c r="AE744" s="227">
        <v>1295</v>
      </c>
      <c r="AF744" s="227">
        <v>997.72449067587002</v>
      </c>
      <c r="AG744" s="226" t="s">
        <v>155</v>
      </c>
      <c r="AH744" s="229">
        <v>0.75</v>
      </c>
      <c r="AI744" s="225">
        <f t="shared" si="501"/>
        <v>748.29336800690248</v>
      </c>
      <c r="AJ744" s="226">
        <f t="shared" si="502"/>
        <v>3.7325586326660193E-2</v>
      </c>
      <c r="AK744" s="226"/>
      <c r="AL744" s="226">
        <f t="shared" si="503"/>
        <v>172.96984825051729</v>
      </c>
      <c r="AM744" s="228">
        <f t="shared" si="504"/>
        <v>172576.25374802988</v>
      </c>
      <c r="AN744" s="226"/>
      <c r="AO744" s="227">
        <v>2.0388675623800001</v>
      </c>
      <c r="AP744" s="225"/>
      <c r="AQ744" s="226">
        <f t="shared" si="505"/>
        <v>2034.2281002311383</v>
      </c>
      <c r="AR744" s="226">
        <f t="shared" si="506"/>
        <v>2.1643976268195231E-3</v>
      </c>
      <c r="AS744" s="228">
        <f>AR744*'DADOS BASE'!W$38</f>
        <v>649264.67531030125</v>
      </c>
      <c r="AT744" s="225"/>
      <c r="AU744" s="227">
        <v>0.17499999999999999</v>
      </c>
      <c r="AV744" s="227">
        <v>1.75</v>
      </c>
      <c r="AW744" s="226">
        <f t="shared" si="507"/>
        <v>4.3749999999999997E-2</v>
      </c>
      <c r="AX744" s="226">
        <f>IF($AW$11&gt;0,(AW744/$AW$11)*'DADOS BASE'!W$40,0)</f>
        <v>7.8608413742758456</v>
      </c>
      <c r="AY744" s="226">
        <f t="shared" si="508"/>
        <v>8.9200455854125005E-2</v>
      </c>
      <c r="AZ744" s="226">
        <f t="shared" si="509"/>
        <v>4.6652119819335404E-6</v>
      </c>
      <c r="BA744" s="226">
        <f>AZ744*'DADOS BASE'!W$41</f>
        <v>34.465903928719229</v>
      </c>
      <c r="BB744" s="225"/>
      <c r="BC744" s="227">
        <v>0</v>
      </c>
      <c r="BD744" s="226">
        <f>IF($BC$11&gt;0,(BC744/$BC$11)*'DADOS BASE'!W$39,0)</f>
        <v>0</v>
      </c>
      <c r="BE744" s="187"/>
    </row>
    <row r="745" spans="2:57" x14ac:dyDescent="0.3">
      <c r="B745" s="184" t="s">
        <v>804</v>
      </c>
      <c r="C745" s="184" t="s">
        <v>830</v>
      </c>
      <c r="D745" s="184" t="s">
        <v>94</v>
      </c>
      <c r="E745" s="184">
        <v>2016</v>
      </c>
      <c r="F745" s="185"/>
      <c r="H745" s="186">
        <f ca="1">IF(AND(E745&gt;=2018,SUMIF('DADOS BASE'!$C$101:$D$104,D745,'DADOS BASE'!$H$101:$H$104)&gt;J745),
SUMIF('DADOS BASE'!$C$101:$D$104,D745,'DADOS BASE'!$H$101:$H$104),
J745)</f>
        <v>2094074.7757699764</v>
      </c>
      <c r="J745" s="186">
        <f t="shared" si="498"/>
        <v>2094074.7757699764</v>
      </c>
      <c r="K745" s="186"/>
      <c r="L745" s="188">
        <v>2124.8339113488</v>
      </c>
      <c r="M745" s="186">
        <f t="shared" si="499"/>
        <v>1.6576969447672631E-3</v>
      </c>
      <c r="N745" s="186">
        <f>L745*'DADOS BASE'!$I$29</f>
        <v>2092400.7243477018</v>
      </c>
      <c r="O745" s="187"/>
      <c r="P745" s="188">
        <v>0</v>
      </c>
      <c r="Q745" s="186">
        <f>P745*'DADOS BASE'!$I$33</f>
        <v>0</v>
      </c>
      <c r="R745" s="186"/>
      <c r="S745" s="188">
        <v>2.125</v>
      </c>
      <c r="T745" s="186">
        <f>S745*'DADOS BASE'!$I$37</f>
        <v>1674.0514222747568</v>
      </c>
      <c r="U745" s="186"/>
      <c r="V745" s="186">
        <f t="shared" si="500"/>
        <v>1674.0514222747568</v>
      </c>
      <c r="W745" s="187"/>
      <c r="X745" s="186"/>
      <c r="Y745" s="186"/>
      <c r="Z745" s="185"/>
      <c r="AA745" s="186"/>
      <c r="AB745" s="186"/>
      <c r="AC745" s="186"/>
      <c r="AD745" s="186"/>
      <c r="AE745" s="188">
        <v>1094</v>
      </c>
      <c r="AF745" s="188">
        <v>935.12652025158002</v>
      </c>
      <c r="AG745" s="186" t="s">
        <v>155</v>
      </c>
      <c r="AH745" s="189">
        <v>0.754</v>
      </c>
      <c r="AI745" s="183">
        <f t="shared" si="501"/>
        <v>705.08539626969139</v>
      </c>
      <c r="AJ745" s="186">
        <f t="shared" si="502"/>
        <v>4.2720762578979402E-2</v>
      </c>
      <c r="AK745" s="186"/>
      <c r="AL745" s="186">
        <f t="shared" si="503"/>
        <v>172.00046254295748</v>
      </c>
      <c r="AM745" s="187">
        <f t="shared" si="504"/>
        <v>160842.19401945805</v>
      </c>
      <c r="AN745" s="186"/>
      <c r="AO745" s="188">
        <v>2.0398179749716001</v>
      </c>
      <c r="AQ745" s="186">
        <f t="shared" si="505"/>
        <v>1907.4878848818169</v>
      </c>
      <c r="AR745" s="186">
        <f t="shared" si="506"/>
        <v>2.0295473505434767E-3</v>
      </c>
      <c r="AS745" s="187">
        <f>AR745*'DADOS BASE'!W$38</f>
        <v>608812.99501044466</v>
      </c>
      <c r="AU745" s="188">
        <v>2.125</v>
      </c>
      <c r="AV745" s="188">
        <v>11.75</v>
      </c>
      <c r="AW745" s="186">
        <f t="shared" si="507"/>
        <v>0.53125</v>
      </c>
      <c r="AX745" s="186">
        <f>IF($AW$11&gt;0,(AW745/$AW$11)*'DADOS BASE'!W$40,0)</f>
        <v>95.453073830492414</v>
      </c>
      <c r="AY745" s="186">
        <f t="shared" si="508"/>
        <v>1.0836532992036625</v>
      </c>
      <c r="AZ745" s="186">
        <f t="shared" si="509"/>
        <v>5.6675409416901005E-5</v>
      </c>
      <c r="BA745" s="186">
        <f>AZ745*'DADOS BASE'!W$41</f>
        <v>418.7096371286749</v>
      </c>
      <c r="BC745" s="188">
        <v>0</v>
      </c>
      <c r="BD745" s="186">
        <f>IF($BC$11&gt;0,(BC745/$BC$11)*'DADOS BASE'!W$39,0)</f>
        <v>0</v>
      </c>
      <c r="BE745" s="187"/>
    </row>
    <row r="746" spans="2:57" x14ac:dyDescent="0.3">
      <c r="B746" s="223" t="s">
        <v>804</v>
      </c>
      <c r="C746" s="223" t="s">
        <v>831</v>
      </c>
      <c r="D746" s="223" t="s">
        <v>98</v>
      </c>
      <c r="E746" s="223">
        <v>2018</v>
      </c>
      <c r="F746" s="224"/>
      <c r="G746" s="225"/>
      <c r="H746" s="226">
        <f ca="1">IF(AND(E746&gt;=2018,SUMIF('DADOS BASE'!$C$101:$D$104,D746,'DADOS BASE'!$H$101:$H$104)&gt;J746),
SUMIF('DADOS BASE'!$C$101:$D$104,D746,'DADOS BASE'!$H$101:$H$104),
J746)</f>
        <v>700000</v>
      </c>
      <c r="I746" s="225"/>
      <c r="J746" s="226">
        <f t="shared" si="498"/>
        <v>4615.9506128899538</v>
      </c>
      <c r="K746" s="226"/>
      <c r="L746" s="227">
        <v>4.6875</v>
      </c>
      <c r="M746" s="226">
        <f t="shared" si="499"/>
        <v>3.6569702634612151E-6</v>
      </c>
      <c r="N746" s="226">
        <f>L746*'DADOS BASE'!$I$29</f>
        <v>4615.9506128899538</v>
      </c>
      <c r="O746" s="228"/>
      <c r="P746" s="227">
        <v>0</v>
      </c>
      <c r="Q746" s="226">
        <f>P746*'DADOS BASE'!$I$33</f>
        <v>0</v>
      </c>
      <c r="R746" s="226"/>
      <c r="S746" s="227">
        <v>0</v>
      </c>
      <c r="T746" s="226">
        <f>S746*'DADOS BASE'!$I$37</f>
        <v>0</v>
      </c>
      <c r="U746" s="226"/>
      <c r="V746" s="226">
        <f t="shared" si="500"/>
        <v>0</v>
      </c>
      <c r="W746" s="228"/>
      <c r="X746" s="226"/>
      <c r="Y746" s="226"/>
      <c r="Z746" s="224"/>
      <c r="AA746" s="226"/>
      <c r="AB746" s="226"/>
      <c r="AC746" s="226"/>
      <c r="AD746" s="226"/>
      <c r="AE746" s="227">
        <v>110</v>
      </c>
      <c r="AF746" s="227">
        <v>4.6875</v>
      </c>
      <c r="AG746" s="226" t="s">
        <v>155</v>
      </c>
      <c r="AH746" s="229">
        <v>0.80300000000000005</v>
      </c>
      <c r="AI746" s="225">
        <f t="shared" si="501"/>
        <v>3.7640625000000001</v>
      </c>
      <c r="AJ746" s="226">
        <f t="shared" si="502"/>
        <v>0.10881167166988967</v>
      </c>
      <c r="AK746" s="226"/>
      <c r="AL746" s="226">
        <f t="shared" si="503"/>
        <v>160.12548762534993</v>
      </c>
      <c r="AM746" s="228">
        <f t="shared" si="504"/>
        <v>750.58822324382777</v>
      </c>
      <c r="AN746" s="226"/>
      <c r="AO746" s="227">
        <v>0</v>
      </c>
      <c r="AP746" s="225"/>
      <c r="AQ746" s="226">
        <f t="shared" si="505"/>
        <v>0</v>
      </c>
      <c r="AR746" s="226">
        <f t="shared" si="506"/>
        <v>0</v>
      </c>
      <c r="AS746" s="228">
        <f>AR746*'DADOS BASE'!W$38</f>
        <v>0</v>
      </c>
      <c r="AT746" s="225"/>
      <c r="AU746" s="227">
        <v>0</v>
      </c>
      <c r="AV746" s="227">
        <v>0</v>
      </c>
      <c r="AW746" s="226">
        <f t="shared" si="507"/>
        <v>0</v>
      </c>
      <c r="AX746" s="226">
        <f>IF($AW$11&gt;0,(AW746/$AW$11)*'DADOS BASE'!W$40,0)</f>
        <v>0</v>
      </c>
      <c r="AY746" s="226">
        <f t="shared" si="508"/>
        <v>0</v>
      </c>
      <c r="AZ746" s="226">
        <f t="shared" si="509"/>
        <v>0</v>
      </c>
      <c r="BA746" s="226">
        <f>AZ746*'DADOS BASE'!W$41</f>
        <v>0</v>
      </c>
      <c r="BB746" s="225"/>
      <c r="BC746" s="227">
        <v>0</v>
      </c>
      <c r="BD746" s="226">
        <f>IF($BC$11&gt;0,(BC746/$BC$11)*'DADOS BASE'!W$39,0)</f>
        <v>0</v>
      </c>
      <c r="BE746" s="187"/>
    </row>
    <row r="747" spans="2:57" x14ac:dyDescent="0.3">
      <c r="B747" s="184" t="s">
        <v>804</v>
      </c>
      <c r="C747" s="184" t="s">
        <v>832</v>
      </c>
      <c r="D747" s="184" t="s">
        <v>94</v>
      </c>
      <c r="E747" s="184">
        <v>2009</v>
      </c>
      <c r="F747" s="185"/>
      <c r="H747" s="186">
        <f ca="1">IF(AND(E747&gt;=2018,SUMIF('DADOS BASE'!$C$101:$D$104,D747,'DADOS BASE'!$H$101:$H$104)&gt;J747),
SUMIF('DADOS BASE'!$C$101:$D$104,D747,'DADOS BASE'!$H$101:$H$104),
J747)</f>
        <v>1890548.2350031058</v>
      </c>
      <c r="J747" s="186">
        <f t="shared" si="498"/>
        <v>1890548.2350031058</v>
      </c>
      <c r="K747" s="186"/>
      <c r="L747" s="188">
        <v>1913.9099911379999</v>
      </c>
      <c r="M747" s="186">
        <f t="shared" si="499"/>
        <v>1.4931438772337032E-3</v>
      </c>
      <c r="N747" s="186">
        <f>L747*'DADOS BASE'!$I$29</f>
        <v>1884696.319276727</v>
      </c>
      <c r="O747" s="187"/>
      <c r="P747" s="188">
        <v>0</v>
      </c>
      <c r="Q747" s="186">
        <f>P747*'DADOS BASE'!$I$33</f>
        <v>0</v>
      </c>
      <c r="R747" s="186"/>
      <c r="S747" s="188">
        <v>7.4282789364125996</v>
      </c>
      <c r="T747" s="186">
        <f>S747*'DADOS BASE'!$I$37</f>
        <v>5851.9157263788848</v>
      </c>
      <c r="U747" s="186"/>
      <c r="V747" s="186">
        <f t="shared" si="500"/>
        <v>5851.9157263788848</v>
      </c>
      <c r="W747" s="187"/>
      <c r="X747" s="186"/>
      <c r="Y747" s="186"/>
      <c r="Z747" s="185"/>
      <c r="AA747" s="186"/>
      <c r="AB747" s="186"/>
      <c r="AC747" s="186"/>
      <c r="AD747" s="186"/>
      <c r="AE747" s="188">
        <v>1169</v>
      </c>
      <c r="AF747" s="188">
        <v>912.22739453378995</v>
      </c>
      <c r="AG747" s="186" t="s">
        <v>155</v>
      </c>
      <c r="AH747" s="189">
        <v>0.78</v>
      </c>
      <c r="AI747" s="183">
        <f t="shared" si="501"/>
        <v>711.53736773635615</v>
      </c>
      <c r="AJ747" s="186">
        <f t="shared" si="502"/>
        <v>7.7789408219054237E-2</v>
      </c>
      <c r="AK747" s="186"/>
      <c r="AL747" s="186">
        <f t="shared" si="503"/>
        <v>165.69945544381878</v>
      </c>
      <c r="AM747" s="187">
        <f t="shared" si="504"/>
        <v>151155.58251518261</v>
      </c>
      <c r="AN747" s="186"/>
      <c r="AO747" s="188">
        <v>1.8012086513995</v>
      </c>
      <c r="AQ747" s="186">
        <f t="shared" si="505"/>
        <v>1643.1118750778874</v>
      </c>
      <c r="AR747" s="186">
        <f t="shared" si="506"/>
        <v>1.7482540146866853E-3</v>
      </c>
      <c r="AS747" s="187">
        <f>AR747*'DADOS BASE'!W$38</f>
        <v>524432.09193193656</v>
      </c>
      <c r="AU747" s="188">
        <v>7.4282789364125996</v>
      </c>
      <c r="AV747" s="188">
        <v>41</v>
      </c>
      <c r="AW747" s="186">
        <f t="shared" si="507"/>
        <v>1.8570697341031499</v>
      </c>
      <c r="AX747" s="186">
        <f>IF($AW$11&gt;0,(AW747/$AW$11)*'DADOS BASE'!W$40,0)</f>
        <v>333.67155658865107</v>
      </c>
      <c r="AY747" s="186">
        <f t="shared" si="508"/>
        <v>3.3449700713187629</v>
      </c>
      <c r="AZ747" s="186">
        <f t="shared" si="509"/>
        <v>1.7494298999374164E-4</v>
      </c>
      <c r="BA747" s="186">
        <f>AZ747*'DADOS BASE'!W$41</f>
        <v>1292.4532281656743</v>
      </c>
      <c r="BC747" s="188">
        <v>0</v>
      </c>
      <c r="BD747" s="186">
        <f>IF($BC$11&gt;0,(BC747/$BC$11)*'DADOS BASE'!W$39,0)</f>
        <v>0</v>
      </c>
      <c r="BE747" s="187"/>
    </row>
    <row r="748" spans="2:57" x14ac:dyDescent="0.3">
      <c r="B748" s="223" t="s">
        <v>804</v>
      </c>
      <c r="C748" s="223" t="s">
        <v>786</v>
      </c>
      <c r="D748" s="223" t="s">
        <v>94</v>
      </c>
      <c r="E748" s="223">
        <v>2010</v>
      </c>
      <c r="F748" s="224"/>
      <c r="G748" s="225"/>
      <c r="H748" s="226">
        <f ca="1">IF(AND(E748&gt;=2018,SUMIF('DADOS BASE'!$C$101:$D$104,D748,'DADOS BASE'!$H$101:$H$104)&gt;J748),
SUMIF('DADOS BASE'!$C$101:$D$104,D748,'DADOS BASE'!$H$101:$H$104),
J748)</f>
        <v>1914865.1462923989</v>
      </c>
      <c r="I748" s="225"/>
      <c r="J748" s="226">
        <f t="shared" si="498"/>
        <v>1914865.1462923989</v>
      </c>
      <c r="K748" s="226"/>
      <c r="L748" s="227">
        <v>1866.7080861028001</v>
      </c>
      <c r="M748" s="226">
        <f t="shared" si="499"/>
        <v>1.456319138440648E-3</v>
      </c>
      <c r="N748" s="226">
        <f>L748*'DADOS BASE'!$I$29</f>
        <v>1838214.8979483421</v>
      </c>
      <c r="O748" s="228"/>
      <c r="P748" s="227">
        <v>0</v>
      </c>
      <c r="Q748" s="226">
        <f>P748*'DADOS BASE'!$I$33</f>
        <v>0</v>
      </c>
      <c r="R748" s="226"/>
      <c r="S748" s="227">
        <v>97.297953673245999</v>
      </c>
      <c r="T748" s="226">
        <f>S748*'DADOS BASE'!$I$37</f>
        <v>76650.248344056876</v>
      </c>
      <c r="U748" s="226"/>
      <c r="V748" s="226">
        <f t="shared" si="500"/>
        <v>76650.248344056876</v>
      </c>
      <c r="W748" s="228"/>
      <c r="X748" s="226"/>
      <c r="Y748" s="226"/>
      <c r="Z748" s="224"/>
      <c r="AA748" s="226"/>
      <c r="AB748" s="226"/>
      <c r="AC748" s="226"/>
      <c r="AD748" s="226"/>
      <c r="AE748" s="227">
        <v>1746</v>
      </c>
      <c r="AF748" s="227">
        <v>1062.4105304129</v>
      </c>
      <c r="AG748" s="226" t="s">
        <v>155</v>
      </c>
      <c r="AH748" s="229">
        <v>0.80500000000000005</v>
      </c>
      <c r="AI748" s="225">
        <f t="shared" si="501"/>
        <v>855.24047698238462</v>
      </c>
      <c r="AJ748" s="226">
        <f t="shared" si="502"/>
        <v>0.11150925979604927</v>
      </c>
      <c r="AK748" s="226"/>
      <c r="AL748" s="226">
        <f t="shared" si="503"/>
        <v>159.64079477157003</v>
      </c>
      <c r="AM748" s="228">
        <f t="shared" si="504"/>
        <v>169604.06144880064</v>
      </c>
      <c r="AN748" s="226"/>
      <c r="AO748" s="227">
        <v>1.1346275252525</v>
      </c>
      <c r="AP748" s="225"/>
      <c r="AQ748" s="226">
        <f t="shared" si="505"/>
        <v>1205.4402309245845</v>
      </c>
      <c r="AR748" s="226">
        <f t="shared" si="506"/>
        <v>1.2825759189883849E-3</v>
      </c>
      <c r="AS748" s="228">
        <f>AR748*'DADOS BASE'!W$38</f>
        <v>384740.41335300438</v>
      </c>
      <c r="AT748" s="225"/>
      <c r="AU748" s="227">
        <v>97.297953673245999</v>
      </c>
      <c r="AV748" s="227">
        <v>749.5</v>
      </c>
      <c r="AW748" s="226">
        <f t="shared" si="507"/>
        <v>24.3244884183115</v>
      </c>
      <c r="AX748" s="226">
        <f>IF($AW$11&gt;0,(AW748/$AW$11)*'DADOS BASE'!W$40,0)</f>
        <v>4370.5358849544382</v>
      </c>
      <c r="AY748" s="226">
        <f t="shared" si="508"/>
        <v>27.599234097101874</v>
      </c>
      <c r="AZ748" s="226">
        <f t="shared" si="509"/>
        <v>1.4434486502238448E-3</v>
      </c>
      <c r="BA748" s="226">
        <f>AZ748*'DADOS BASE'!W$41</f>
        <v>10663.987552401686</v>
      </c>
      <c r="BB748" s="225"/>
      <c r="BC748" s="227">
        <v>0</v>
      </c>
      <c r="BD748" s="226">
        <f>IF($BC$11&gt;0,(BC748/$BC$11)*'DADOS BASE'!W$39,0)</f>
        <v>0</v>
      </c>
      <c r="BE748" s="187"/>
    </row>
    <row r="749" spans="2:57" x14ac:dyDescent="0.3">
      <c r="B749" s="184" t="s">
        <v>804</v>
      </c>
      <c r="C749" s="184" t="s">
        <v>833</v>
      </c>
      <c r="D749" s="184" t="s">
        <v>94</v>
      </c>
      <c r="E749" s="184">
        <v>2009</v>
      </c>
      <c r="F749" s="185"/>
      <c r="H749" s="186">
        <f ca="1">IF(AND(E749&gt;=2018,SUMIF('DADOS BASE'!$C$101:$D$104,D749,'DADOS BASE'!$H$101:$H$104)&gt;J749),
SUMIF('DADOS BASE'!$C$101:$D$104,D749,'DADOS BASE'!$H$101:$H$104),
J749)</f>
        <v>1915137.2448559755</v>
      </c>
      <c r="J749" s="186">
        <f t="shared" si="498"/>
        <v>1915137.2448559755</v>
      </c>
      <c r="K749" s="186"/>
      <c r="L749" s="188">
        <v>1902.7827652596</v>
      </c>
      <c r="M749" s="186">
        <f t="shared" si="499"/>
        <v>1.4844629312812498E-3</v>
      </c>
      <c r="N749" s="186">
        <f>L749*'DADOS BASE'!$I$29</f>
        <v>1873738.9379192516</v>
      </c>
      <c r="O749" s="187"/>
      <c r="P749" s="188">
        <v>0</v>
      </c>
      <c r="Q749" s="186">
        <f>P749*'DADOS BASE'!$I$33</f>
        <v>0</v>
      </c>
      <c r="R749" s="186"/>
      <c r="S749" s="188">
        <v>52.55</v>
      </c>
      <c r="T749" s="186">
        <f>S749*'DADOS BASE'!$I$37</f>
        <v>41398.30693672398</v>
      </c>
      <c r="U749" s="186"/>
      <c r="V749" s="186">
        <f t="shared" si="500"/>
        <v>41398.30693672398</v>
      </c>
      <c r="W749" s="187"/>
      <c r="X749" s="186"/>
      <c r="Y749" s="186"/>
      <c r="Z749" s="185"/>
      <c r="AA749" s="186"/>
      <c r="AB749" s="186"/>
      <c r="AC749" s="186"/>
      <c r="AD749" s="186"/>
      <c r="AE749" s="188">
        <v>1473</v>
      </c>
      <c r="AF749" s="188">
        <v>1005.46865045</v>
      </c>
      <c r="AG749" s="186" t="s">
        <v>155</v>
      </c>
      <c r="AH749" s="189">
        <v>0.79700000000000004</v>
      </c>
      <c r="AI749" s="183">
        <f t="shared" si="501"/>
        <v>801.35851440865008</v>
      </c>
      <c r="AJ749" s="186">
        <f t="shared" si="502"/>
        <v>0.10071890729141085</v>
      </c>
      <c r="AK749" s="186"/>
      <c r="AL749" s="186">
        <f t="shared" si="503"/>
        <v>161.57956618668962</v>
      </c>
      <c r="AM749" s="187">
        <f t="shared" si="504"/>
        <v>162463.18835402728</v>
      </c>
      <c r="AN749" s="186"/>
      <c r="AO749" s="188">
        <v>1.7845771144278999</v>
      </c>
      <c r="AQ749" s="186">
        <f t="shared" si="505"/>
        <v>1794.3363428677758</v>
      </c>
      <c r="AR749" s="186">
        <f t="shared" si="506"/>
        <v>1.9091552819360607E-3</v>
      </c>
      <c r="AS749" s="187">
        <f>AR749*'DADOS BASE'!W$38</f>
        <v>572698.41219730827</v>
      </c>
      <c r="AU749" s="188">
        <v>26.9</v>
      </c>
      <c r="AV749" s="188">
        <v>19.25</v>
      </c>
      <c r="AW749" s="186">
        <f t="shared" si="507"/>
        <v>6.7249999999999996</v>
      </c>
      <c r="AX749" s="186">
        <f>IF($AW$11&gt;0,(AW749/$AW$11)*'DADOS BASE'!W$40,0)</f>
        <v>1208.3236169601157</v>
      </c>
      <c r="AY749" s="186">
        <f t="shared" si="508"/>
        <v>12.001281094527625</v>
      </c>
      <c r="AZ749" s="186">
        <f t="shared" si="509"/>
        <v>6.2767078738144822E-4</v>
      </c>
      <c r="BA749" s="186">
        <f>AZ749*'DADOS BASE'!W$41</f>
        <v>4637.1399928940527</v>
      </c>
      <c r="BC749" s="188">
        <v>0</v>
      </c>
      <c r="BD749" s="186">
        <f>IF($BC$11&gt;0,(BC749/$BC$11)*'DADOS BASE'!W$39,0)</f>
        <v>0</v>
      </c>
      <c r="BE749" s="187"/>
    </row>
    <row r="750" spans="2:57" x14ac:dyDescent="0.3">
      <c r="B750" s="223" t="s">
        <v>804</v>
      </c>
      <c r="C750" s="223" t="s">
        <v>834</v>
      </c>
      <c r="D750" s="223" t="s">
        <v>94</v>
      </c>
      <c r="E750" s="223">
        <v>2017</v>
      </c>
      <c r="F750" s="224"/>
      <c r="G750" s="225"/>
      <c r="H750" s="226">
        <f ca="1">IF(AND(E750&gt;=2018,SUMIF('DADOS BASE'!$C$101:$D$104,D750,'DADOS BASE'!$H$101:$H$104)&gt;J750),
SUMIF('DADOS BASE'!$C$101:$D$104,D750,'DADOS BASE'!$H$101:$H$104),
J750)</f>
        <v>9603.1467470726038</v>
      </c>
      <c r="I750" s="225"/>
      <c r="J750" s="226">
        <f t="shared" si="498"/>
        <v>9603.1467470726038</v>
      </c>
      <c r="K750" s="226"/>
      <c r="L750" s="227">
        <v>0</v>
      </c>
      <c r="M750" s="226">
        <f t="shared" si="499"/>
        <v>0</v>
      </c>
      <c r="N750" s="226">
        <f>L750*'DADOS BASE'!$I$29</f>
        <v>0</v>
      </c>
      <c r="O750" s="228"/>
      <c r="P750" s="227">
        <v>0</v>
      </c>
      <c r="Q750" s="226">
        <f>P750*'DADOS BASE'!$I$33</f>
        <v>0</v>
      </c>
      <c r="R750" s="226"/>
      <c r="S750" s="227">
        <v>12.19</v>
      </c>
      <c r="T750" s="226">
        <f>S750*'DADOS BASE'!$I$37</f>
        <v>9603.1467470726038</v>
      </c>
      <c r="U750" s="226"/>
      <c r="V750" s="226">
        <f t="shared" si="500"/>
        <v>9603.1467470726038</v>
      </c>
      <c r="W750" s="228"/>
      <c r="X750" s="226"/>
      <c r="Y750" s="226"/>
      <c r="Z750" s="224"/>
      <c r="AA750" s="226"/>
      <c r="AB750" s="226"/>
      <c r="AC750" s="226"/>
      <c r="AD750" s="226"/>
      <c r="AE750" s="227">
        <v>0</v>
      </c>
      <c r="AF750" s="227">
        <v>0</v>
      </c>
      <c r="AG750" s="226" t="s">
        <v>155</v>
      </c>
      <c r="AH750" s="229">
        <v>0.79700000000000004</v>
      </c>
      <c r="AI750" s="225">
        <f t="shared" si="501"/>
        <v>0</v>
      </c>
      <c r="AJ750" s="226">
        <f t="shared" si="502"/>
        <v>0.10071890729141085</v>
      </c>
      <c r="AK750" s="226"/>
      <c r="AL750" s="226">
        <f t="shared" si="503"/>
        <v>161.57956618668962</v>
      </c>
      <c r="AM750" s="228">
        <f t="shared" si="504"/>
        <v>0</v>
      </c>
      <c r="AN750" s="226"/>
      <c r="AO750" s="227">
        <v>0.85742971887550001</v>
      </c>
      <c r="AP750" s="225"/>
      <c r="AQ750" s="226">
        <f t="shared" si="505"/>
        <v>0</v>
      </c>
      <c r="AR750" s="226">
        <f t="shared" si="506"/>
        <v>0</v>
      </c>
      <c r="AS750" s="228">
        <f>AR750*'DADOS BASE'!W$38</f>
        <v>0</v>
      </c>
      <c r="AT750" s="225"/>
      <c r="AU750" s="227">
        <v>12.19</v>
      </c>
      <c r="AV750" s="227">
        <v>50</v>
      </c>
      <c r="AW750" s="226">
        <f t="shared" si="507"/>
        <v>3.0474999999999999</v>
      </c>
      <c r="AX750" s="226">
        <f>IF($AW$11&gt;0,(AW750/$AW$11)*'DADOS BASE'!W$40,0)</f>
        <v>547.5637505852718</v>
      </c>
      <c r="AY750" s="226">
        <f t="shared" si="508"/>
        <v>2.613017068273086</v>
      </c>
      <c r="AZ750" s="226">
        <f t="shared" si="509"/>
        <v>1.3666161701953594E-4</v>
      </c>
      <c r="BA750" s="226">
        <f>AZ750*'DADOS BASE'!W$41</f>
        <v>1009.6360425162446</v>
      </c>
      <c r="BB750" s="225"/>
      <c r="BC750" s="227">
        <v>0</v>
      </c>
      <c r="BD750" s="226">
        <f>IF($BC$11&gt;0,(BC750/$BC$11)*'DADOS BASE'!W$39,0)</f>
        <v>0</v>
      </c>
      <c r="BE750" s="187"/>
    </row>
    <row r="751" spans="2:57" x14ac:dyDescent="0.3">
      <c r="B751" s="184" t="s">
        <v>804</v>
      </c>
      <c r="C751" s="184" t="s">
        <v>835</v>
      </c>
      <c r="D751" s="184" t="s">
        <v>94</v>
      </c>
      <c r="E751" s="184">
        <v>2013</v>
      </c>
      <c r="F751" s="185"/>
      <c r="H751" s="186">
        <f ca="1">IF(AND(E751&gt;=2018,SUMIF('DADOS BASE'!$C$101:$D$104,D751,'DADOS BASE'!$H$101:$H$104)&gt;J751),
SUMIF('DADOS BASE'!$C$101:$D$104,D751,'DADOS BASE'!$H$101:$H$104),
J751)</f>
        <v>2869228.1543128188</v>
      </c>
      <c r="J751" s="186">
        <f t="shared" si="498"/>
        <v>2869228.1543128188</v>
      </c>
      <c r="K751" s="186"/>
      <c r="L751" s="188">
        <v>2913.7025287453998</v>
      </c>
      <c r="M751" s="186">
        <f t="shared" si="499"/>
        <v>2.2731356808946505E-3</v>
      </c>
      <c r="N751" s="186">
        <f>L751*'DADOS BASE'!$I$29</f>
        <v>2869228.1543128188</v>
      </c>
      <c r="O751" s="187"/>
      <c r="P751" s="188">
        <v>0</v>
      </c>
      <c r="Q751" s="186">
        <f>P751*'DADOS BASE'!$I$33</f>
        <v>0</v>
      </c>
      <c r="R751" s="186"/>
      <c r="S751" s="188">
        <v>0</v>
      </c>
      <c r="T751" s="186">
        <f>S751*'DADOS BASE'!$I$37</f>
        <v>0</v>
      </c>
      <c r="U751" s="186"/>
      <c r="V751" s="186">
        <f t="shared" si="500"/>
        <v>0</v>
      </c>
      <c r="W751" s="187"/>
      <c r="X751" s="186"/>
      <c r="Y751" s="186"/>
      <c r="Z751" s="185"/>
      <c r="AA751" s="186"/>
      <c r="AB751" s="186"/>
      <c r="AC751" s="186"/>
      <c r="AD751" s="186"/>
      <c r="AE751" s="188">
        <v>1546</v>
      </c>
      <c r="AF751" s="188">
        <v>1167.3356253685999</v>
      </c>
      <c r="AG751" s="186" t="s">
        <v>155</v>
      </c>
      <c r="AH751" s="189">
        <v>0.80700000000000005</v>
      </c>
      <c r="AI751" s="183">
        <f t="shared" si="501"/>
        <v>942.03984967246026</v>
      </c>
      <c r="AJ751" s="186">
        <f t="shared" si="502"/>
        <v>0.11420684792220887</v>
      </c>
      <c r="AK751" s="186"/>
      <c r="AL751" s="186">
        <f t="shared" si="503"/>
        <v>159.15610191779012</v>
      </c>
      <c r="AM751" s="187">
        <f t="shared" si="504"/>
        <v>185788.58776343215</v>
      </c>
      <c r="AN751" s="186"/>
      <c r="AO751" s="188">
        <v>1.9176372712145999</v>
      </c>
      <c r="AQ751" s="186">
        <f t="shared" si="505"/>
        <v>2238.5263032234307</v>
      </c>
      <c r="AR751" s="186">
        <f t="shared" si="506"/>
        <v>2.3817687985528053E-3</v>
      </c>
      <c r="AS751" s="187">
        <f>AR751*'DADOS BASE'!W$38</f>
        <v>714470.54205513548</v>
      </c>
      <c r="AU751" s="188">
        <v>0</v>
      </c>
      <c r="AV751" s="188">
        <v>0</v>
      </c>
      <c r="AW751" s="186">
        <f t="shared" si="507"/>
        <v>0</v>
      </c>
      <c r="AX751" s="186">
        <f>IF($AW$11&gt;0,(AW751/$AW$11)*'DADOS BASE'!W$40,0)</f>
        <v>0</v>
      </c>
      <c r="AY751" s="186">
        <f t="shared" si="508"/>
        <v>0</v>
      </c>
      <c r="AZ751" s="186">
        <f t="shared" si="509"/>
        <v>0</v>
      </c>
      <c r="BA751" s="186">
        <f>AZ751*'DADOS BASE'!W$41</f>
        <v>0</v>
      </c>
      <c r="BC751" s="188">
        <v>0</v>
      </c>
      <c r="BD751" s="186">
        <f>IF($BC$11&gt;0,(BC751/$BC$11)*'DADOS BASE'!W$39,0)</f>
        <v>0</v>
      </c>
      <c r="BE751" s="187"/>
    </row>
    <row r="752" spans="2:57" x14ac:dyDescent="0.3">
      <c r="B752" s="223" t="s">
        <v>804</v>
      </c>
      <c r="C752" s="223" t="s">
        <v>836</v>
      </c>
      <c r="D752" s="223" t="s">
        <v>94</v>
      </c>
      <c r="E752" s="223">
        <v>2009</v>
      </c>
      <c r="F752" s="224"/>
      <c r="G752" s="225"/>
      <c r="H752" s="226">
        <f ca="1">IF(AND(E752&gt;=2018,SUMIF('DADOS BASE'!$C$101:$D$104,D752,'DADOS BASE'!$H$101:$H$104)&gt;J752),
SUMIF('DADOS BASE'!$C$101:$D$104,D752,'DADOS BASE'!$H$101:$H$104),
J752)</f>
        <v>11221983.249406409</v>
      </c>
      <c r="I752" s="225"/>
      <c r="J752" s="226">
        <f t="shared" si="498"/>
        <v>11221983.249406409</v>
      </c>
      <c r="K752" s="226"/>
      <c r="L752" s="227">
        <v>11287.227801456</v>
      </c>
      <c r="M752" s="226">
        <f t="shared" si="499"/>
        <v>8.8057720377252898E-3</v>
      </c>
      <c r="N752" s="226">
        <f>L752*'DADOS BASE'!$I$29</f>
        <v>11114941.032097995</v>
      </c>
      <c r="O752" s="228"/>
      <c r="P752" s="227">
        <v>0</v>
      </c>
      <c r="Q752" s="226">
        <f>P752*'DADOS BASE'!$I$33</f>
        <v>0</v>
      </c>
      <c r="R752" s="226"/>
      <c r="S752" s="227">
        <v>135.87677699368001</v>
      </c>
      <c r="T752" s="226">
        <f>S752*'DADOS BASE'!$I$37</f>
        <v>107042.21730841411</v>
      </c>
      <c r="U752" s="226"/>
      <c r="V752" s="226">
        <f t="shared" si="500"/>
        <v>107042.21730841411</v>
      </c>
      <c r="W752" s="228"/>
      <c r="X752" s="226"/>
      <c r="Y752" s="226"/>
      <c r="Z752" s="224"/>
      <c r="AA752" s="226"/>
      <c r="AB752" s="226"/>
      <c r="AC752" s="226"/>
      <c r="AD752" s="226"/>
      <c r="AE752" s="227">
        <v>7478</v>
      </c>
      <c r="AF752" s="227">
        <v>4972.7494618132996</v>
      </c>
      <c r="AG752" s="226" t="s">
        <v>155</v>
      </c>
      <c r="AH752" s="229">
        <v>0.80500000000000005</v>
      </c>
      <c r="AI752" s="225">
        <f t="shared" si="501"/>
        <v>4003.0633167597066</v>
      </c>
      <c r="AJ752" s="226">
        <f t="shared" si="502"/>
        <v>0.11150925979604927</v>
      </c>
      <c r="AK752" s="226"/>
      <c r="AL752" s="226">
        <f t="shared" si="503"/>
        <v>159.64079477157003</v>
      </c>
      <c r="AM752" s="228">
        <f t="shared" si="504"/>
        <v>793853.67628377222</v>
      </c>
      <c r="AN752" s="226"/>
      <c r="AO752" s="227">
        <v>1.7130484053748001</v>
      </c>
      <c r="AP752" s="225"/>
      <c r="AQ752" s="226">
        <f t="shared" si="505"/>
        <v>8518.5605358876674</v>
      </c>
      <c r="AR752" s="226">
        <f t="shared" si="506"/>
        <v>9.0636601695251156E-3</v>
      </c>
      <c r="AS752" s="228">
        <f>AR752*'DADOS BASE'!W$38</f>
        <v>2718869.3538427758</v>
      </c>
      <c r="AT752" s="225"/>
      <c r="AU752" s="227">
        <v>69.159986747773999</v>
      </c>
      <c r="AV752" s="227">
        <v>88.75</v>
      </c>
      <c r="AW752" s="226">
        <f t="shared" si="507"/>
        <v>17.2899966869435</v>
      </c>
      <c r="AX752" s="226">
        <f>IF($AW$11&gt;0,(AW752/$AW$11)*'DADOS BASE'!W$40,0)</f>
        <v>3106.6039158358349</v>
      </c>
      <c r="AY752" s="226">
        <f t="shared" si="508"/>
        <v>29.618601253504139</v>
      </c>
      <c r="AZ752" s="226">
        <f t="shared" si="509"/>
        <v>1.5490621895691736E-3</v>
      </c>
      <c r="BA752" s="226">
        <f>AZ752*'DADOS BASE'!W$41</f>
        <v>11444.244937220339</v>
      </c>
      <c r="BB752" s="225"/>
      <c r="BC752" s="227">
        <v>0</v>
      </c>
      <c r="BD752" s="226">
        <f>IF($BC$11&gt;0,(BC752/$BC$11)*'DADOS BASE'!W$39,0)</f>
        <v>0</v>
      </c>
      <c r="BE752" s="187"/>
    </row>
    <row r="753" spans="2:57" x14ac:dyDescent="0.3">
      <c r="B753" s="184" t="s">
        <v>804</v>
      </c>
      <c r="C753" s="184" t="s">
        <v>837</v>
      </c>
      <c r="D753" s="184" t="s">
        <v>94</v>
      </c>
      <c r="E753" s="184">
        <v>2016</v>
      </c>
      <c r="F753" s="185"/>
      <c r="H753" s="186">
        <f ca="1">IF(AND(E753&gt;=2018,SUMIF('DADOS BASE'!$C$101:$D$104,D753,'DADOS BASE'!$H$101:$H$104)&gt;J753),
SUMIF('DADOS BASE'!$C$101:$D$104,D753,'DADOS BASE'!$H$101:$H$104),
J753)</f>
        <v>1735318.1165909809</v>
      </c>
      <c r="J753" s="186">
        <f t="shared" si="498"/>
        <v>1735318.1165909809</v>
      </c>
      <c r="K753" s="186"/>
      <c r="L753" s="188">
        <v>1761.6103690717</v>
      </c>
      <c r="M753" s="186">
        <f t="shared" si="499"/>
        <v>1.3743267702400305E-3</v>
      </c>
      <c r="N753" s="186">
        <f>L753*'DADOS BASE'!$I$29</f>
        <v>1734721.3787284933</v>
      </c>
      <c r="O753" s="187"/>
      <c r="P753" s="188">
        <v>0</v>
      </c>
      <c r="Q753" s="186">
        <f>P753*'DADOS BASE'!$I$33</f>
        <v>0</v>
      </c>
      <c r="R753" s="186"/>
      <c r="S753" s="188">
        <v>0.75748447204969005</v>
      </c>
      <c r="T753" s="186">
        <f>S753*'DADOS BASE'!$I$37</f>
        <v>596.73786248744796</v>
      </c>
      <c r="U753" s="186"/>
      <c r="V753" s="186">
        <f t="shared" si="500"/>
        <v>596.73786248744796</v>
      </c>
      <c r="W753" s="187"/>
      <c r="X753" s="186"/>
      <c r="Y753" s="186"/>
      <c r="Z753" s="185"/>
      <c r="AA753" s="186"/>
      <c r="AB753" s="186"/>
      <c r="AC753" s="186"/>
      <c r="AD753" s="186"/>
      <c r="AE753" s="188">
        <v>1345</v>
      </c>
      <c r="AF753" s="188">
        <v>1027.3998578655001</v>
      </c>
      <c r="AG753" s="186" t="s">
        <v>155</v>
      </c>
      <c r="AH753" s="189">
        <v>0.80500000000000005</v>
      </c>
      <c r="AI753" s="183">
        <f t="shared" si="501"/>
        <v>827.05688558172756</v>
      </c>
      <c r="AJ753" s="186">
        <f t="shared" si="502"/>
        <v>0.11150925979604927</v>
      </c>
      <c r="AK753" s="186"/>
      <c r="AL753" s="186">
        <f t="shared" si="503"/>
        <v>159.64079477157003</v>
      </c>
      <c r="AM753" s="187">
        <f t="shared" si="504"/>
        <v>164014.92985784652</v>
      </c>
      <c r="AN753" s="186"/>
      <c r="AO753" s="188">
        <v>1.8522372528616</v>
      </c>
      <c r="AQ753" s="186">
        <f t="shared" si="505"/>
        <v>1902.9882903231921</v>
      </c>
      <c r="AR753" s="186">
        <f t="shared" si="506"/>
        <v>2.0247598285427575E-3</v>
      </c>
      <c r="AS753" s="187">
        <f>AR753*'DADOS BASE'!W$38</f>
        <v>607376.85921043204</v>
      </c>
      <c r="AU753" s="188">
        <v>0.75748447204969005</v>
      </c>
      <c r="AV753" s="188">
        <v>5.25</v>
      </c>
      <c r="AW753" s="186">
        <f t="shared" si="507"/>
        <v>0.18937111801242251</v>
      </c>
      <c r="AX753" s="186">
        <f>IF($AW$11&gt;0,(AW753/$AW$11)*'DADOS BASE'!W$40,0)</f>
        <v>34.025515875769713</v>
      </c>
      <c r="AY753" s="186">
        <f t="shared" si="508"/>
        <v>0.35076023939865936</v>
      </c>
      <c r="AZ753" s="186">
        <f t="shared" si="509"/>
        <v>1.8344871177615513E-5</v>
      </c>
      <c r="BA753" s="186">
        <f>AZ753*'DADOS BASE'!W$41</f>
        <v>135.52922569027086</v>
      </c>
      <c r="BC753" s="188">
        <v>0</v>
      </c>
      <c r="BD753" s="186">
        <f>IF($BC$11&gt;0,(BC753/$BC$11)*'DADOS BASE'!W$39,0)</f>
        <v>0</v>
      </c>
      <c r="BE753" s="187"/>
    </row>
    <row r="754" spans="2:57" x14ac:dyDescent="0.3">
      <c r="B754" s="223" t="s">
        <v>804</v>
      </c>
      <c r="C754" s="223" t="s">
        <v>838</v>
      </c>
      <c r="D754" s="223" t="s">
        <v>94</v>
      </c>
      <c r="E754" s="223">
        <v>2009</v>
      </c>
      <c r="F754" s="224"/>
      <c r="G754" s="225"/>
      <c r="H754" s="226">
        <f ca="1">IF(AND(E754&gt;=2018,SUMIF('DADOS BASE'!$C$101:$D$104,D754,'DADOS BASE'!$H$101:$H$104)&gt;J754),
SUMIF('DADOS BASE'!$C$101:$D$104,D754,'DADOS BASE'!$H$101:$H$104),
J754)</f>
        <v>1977450.9349816556</v>
      </c>
      <c r="I754" s="225"/>
      <c r="J754" s="226">
        <f t="shared" si="498"/>
        <v>1977450.9349816556</v>
      </c>
      <c r="K754" s="226"/>
      <c r="L754" s="227">
        <v>1954.9323466417</v>
      </c>
      <c r="M754" s="226">
        <f t="shared" si="499"/>
        <v>1.5251476178660584E-3</v>
      </c>
      <c r="N754" s="226">
        <f>L754*'DADOS BASE'!$I$29</f>
        <v>1925092.5149096856</v>
      </c>
      <c r="O754" s="228"/>
      <c r="P754" s="227">
        <v>0</v>
      </c>
      <c r="Q754" s="226">
        <f>P754*'DADOS BASE'!$I$33</f>
        <v>0</v>
      </c>
      <c r="R754" s="226"/>
      <c r="S754" s="227">
        <v>66.462500000000006</v>
      </c>
      <c r="T754" s="226">
        <f>S754*'DADOS BASE'!$I$37</f>
        <v>52358.4200719699</v>
      </c>
      <c r="U754" s="226"/>
      <c r="V754" s="226">
        <f t="shared" si="500"/>
        <v>52358.4200719699</v>
      </c>
      <c r="W754" s="228"/>
      <c r="X754" s="226"/>
      <c r="Y754" s="226"/>
      <c r="Z754" s="224"/>
      <c r="AA754" s="226"/>
      <c r="AB754" s="226"/>
      <c r="AC754" s="226"/>
      <c r="AD754" s="226"/>
      <c r="AE754" s="227">
        <v>1233</v>
      </c>
      <c r="AF754" s="227">
        <v>980.19128602070998</v>
      </c>
      <c r="AG754" s="226" t="s">
        <v>155</v>
      </c>
      <c r="AH754" s="229">
        <v>0.76800000000000002</v>
      </c>
      <c r="AI754" s="225">
        <f t="shared" si="501"/>
        <v>752.78690766390525</v>
      </c>
      <c r="AJ754" s="226">
        <f t="shared" si="502"/>
        <v>6.1603879462096618E-2</v>
      </c>
      <c r="AK754" s="226"/>
      <c r="AL754" s="226">
        <f t="shared" si="503"/>
        <v>168.60761256649818</v>
      </c>
      <c r="AM754" s="228">
        <f t="shared" si="504"/>
        <v>165267.71259443747</v>
      </c>
      <c r="AN754" s="226"/>
      <c r="AO754" s="227">
        <v>1.896628216504</v>
      </c>
      <c r="AP754" s="225"/>
      <c r="AQ754" s="226">
        <f t="shared" si="505"/>
        <v>1859.0584506382213</v>
      </c>
      <c r="AR754" s="226">
        <f t="shared" si="506"/>
        <v>1.9780189341711235E-3</v>
      </c>
      <c r="AS754" s="228">
        <f>AR754*'DADOS BASE'!W$38</f>
        <v>593355.77027932566</v>
      </c>
      <c r="AT754" s="225"/>
      <c r="AU754" s="227">
        <v>66.462500000000006</v>
      </c>
      <c r="AV754" s="227">
        <v>51</v>
      </c>
      <c r="AW754" s="226">
        <f t="shared" si="507"/>
        <v>16.615625000000001</v>
      </c>
      <c r="AX754" s="226">
        <f>IF($AW$11&gt;0,(AW754/$AW$11)*'DADOS BASE'!W$40,0)</f>
        <v>2985.4352562160484</v>
      </c>
      <c r="AY754" s="226">
        <f t="shared" si="508"/>
        <v>31.513663209849277</v>
      </c>
      <c r="AZ754" s="226">
        <f t="shared" si="509"/>
        <v>1.648174527735985E-3</v>
      </c>
      <c r="BA754" s="226">
        <f>AZ754*'DADOS BASE'!W$41</f>
        <v>12176.472398402557</v>
      </c>
      <c r="BB754" s="225"/>
      <c r="BC754" s="227">
        <v>0</v>
      </c>
      <c r="BD754" s="226">
        <f>IF($BC$11&gt;0,(BC754/$BC$11)*'DADOS BASE'!W$39,0)</f>
        <v>0</v>
      </c>
      <c r="BE754" s="187"/>
    </row>
    <row r="755" spans="2:57" x14ac:dyDescent="0.3">
      <c r="B755" s="184" t="s">
        <v>804</v>
      </c>
      <c r="C755" s="184" t="s">
        <v>839</v>
      </c>
      <c r="D755" s="184" t="s">
        <v>94</v>
      </c>
      <c r="E755" s="184">
        <v>2009</v>
      </c>
      <c r="F755" s="185"/>
      <c r="H755" s="186">
        <f ca="1">IF(AND(E755&gt;=2018,SUMIF('DADOS BASE'!$C$101:$D$104,D755,'DADOS BASE'!$H$101:$H$104)&gt;J755),
SUMIF('DADOS BASE'!$C$101:$D$104,D755,'DADOS BASE'!$H$101:$H$104),
J755)</f>
        <v>2758077.5189903928</v>
      </c>
      <c r="J755" s="186">
        <f t="shared" si="498"/>
        <v>2758077.5189903928</v>
      </c>
      <c r="K755" s="186"/>
      <c r="L755" s="188">
        <v>2792.3690067412999</v>
      </c>
      <c r="M755" s="186">
        <f t="shared" si="499"/>
        <v>2.1784768900829149E-3</v>
      </c>
      <c r="N755" s="186">
        <f>L755*'DADOS BASE'!$I$29</f>
        <v>2749746.6513242489</v>
      </c>
      <c r="O755" s="187"/>
      <c r="P755" s="188">
        <v>0</v>
      </c>
      <c r="Q755" s="186">
        <f>P755*'DADOS BASE'!$I$33</f>
        <v>0</v>
      </c>
      <c r="R755" s="186"/>
      <c r="S755" s="188">
        <v>10.574999999999999</v>
      </c>
      <c r="T755" s="186">
        <f>S755*'DADOS BASE'!$I$37</f>
        <v>8330.8676661437894</v>
      </c>
      <c r="U755" s="186"/>
      <c r="V755" s="186">
        <f t="shared" si="500"/>
        <v>8330.8676661437894</v>
      </c>
      <c r="W755" s="187"/>
      <c r="X755" s="186"/>
      <c r="Y755" s="186"/>
      <c r="Z755" s="185"/>
      <c r="AA755" s="186"/>
      <c r="AB755" s="186"/>
      <c r="AC755" s="186"/>
      <c r="AD755" s="186"/>
      <c r="AE755" s="188">
        <v>2041</v>
      </c>
      <c r="AF755" s="188">
        <v>1215.5638969480001</v>
      </c>
      <c r="AG755" s="186" t="s">
        <v>155</v>
      </c>
      <c r="AH755" s="189">
        <v>0.76100000000000001</v>
      </c>
      <c r="AI755" s="183">
        <f t="shared" si="501"/>
        <v>925.04412557742808</v>
      </c>
      <c r="AJ755" s="186">
        <f t="shared" si="502"/>
        <v>5.2162321020538006E-2</v>
      </c>
      <c r="AK755" s="186"/>
      <c r="AL755" s="186">
        <f t="shared" si="503"/>
        <v>170.30403755472784</v>
      </c>
      <c r="AM755" s="187">
        <f t="shared" si="504"/>
        <v>207015.43955600352</v>
      </c>
      <c r="AN755" s="186"/>
      <c r="AO755" s="188">
        <v>1.7160702228224001</v>
      </c>
      <c r="AQ755" s="186">
        <f t="shared" si="505"/>
        <v>2085.9930074904196</v>
      </c>
      <c r="AR755" s="186">
        <f t="shared" si="506"/>
        <v>2.219474951929618E-3</v>
      </c>
      <c r="AS755" s="187">
        <f>AR755*'DADOS BASE'!W$38</f>
        <v>665786.48311560403</v>
      </c>
      <c r="AU755" s="188">
        <v>10.574999999999999</v>
      </c>
      <c r="AV755" s="188">
        <v>35.75</v>
      </c>
      <c r="AW755" s="186">
        <f t="shared" si="507"/>
        <v>2.6437499999999998</v>
      </c>
      <c r="AX755" s="186">
        <f>IF($AW$11&gt;0,(AW755/$AW$11)*'DADOS BASE'!W$40,0)</f>
        <v>475.01941447409752</v>
      </c>
      <c r="AY755" s="186">
        <f t="shared" si="508"/>
        <v>4.5368606515867196</v>
      </c>
      <c r="AZ755" s="186">
        <f t="shared" si="509"/>
        <v>2.372792433567636E-4</v>
      </c>
      <c r="BA755" s="186">
        <f>AZ755*'DADOS BASE'!W$41</f>
        <v>1752.9843525832534</v>
      </c>
      <c r="BC755" s="188">
        <v>0</v>
      </c>
      <c r="BD755" s="186">
        <f>IF($BC$11&gt;0,(BC755/$BC$11)*'DADOS BASE'!W$39,0)</f>
        <v>0</v>
      </c>
      <c r="BE755" s="187"/>
    </row>
    <row r="756" spans="2:57" x14ac:dyDescent="0.3">
      <c r="B756" s="223" t="s">
        <v>804</v>
      </c>
      <c r="C756" s="223" t="s">
        <v>840</v>
      </c>
      <c r="D756" s="223" t="s">
        <v>94</v>
      </c>
      <c r="E756" s="223">
        <v>2016</v>
      </c>
      <c r="F756" s="224"/>
      <c r="G756" s="225"/>
      <c r="H756" s="226">
        <f ca="1">IF(AND(E756&gt;=2018,SUMIF('DADOS BASE'!$C$101:$D$104,D756,'DADOS BASE'!$H$101:$H$104)&gt;J756),
SUMIF('DADOS BASE'!$C$101:$D$104,D756,'DADOS BASE'!$H$101:$H$104),
J756)</f>
        <v>1319770.1359559353</v>
      </c>
      <c r="I756" s="225"/>
      <c r="J756" s="226">
        <f t="shared" si="498"/>
        <v>1319770.1359559353</v>
      </c>
      <c r="K756" s="226"/>
      <c r="L756" s="227">
        <v>1339.0271885271</v>
      </c>
      <c r="M756" s="226">
        <f t="shared" si="499"/>
        <v>1.0446469568873981E-3</v>
      </c>
      <c r="N756" s="226">
        <f>L756*'DADOS BASE'!$I$29</f>
        <v>1318588.4525990356</v>
      </c>
      <c r="O756" s="228"/>
      <c r="P756" s="227">
        <v>0</v>
      </c>
      <c r="Q756" s="226">
        <f>P756*'DADOS BASE'!$I$33</f>
        <v>0</v>
      </c>
      <c r="R756" s="226"/>
      <c r="S756" s="227">
        <v>1.5</v>
      </c>
      <c r="T756" s="226">
        <f>S756*'DADOS BASE'!$I$37</f>
        <v>1181.6833568998284</v>
      </c>
      <c r="U756" s="226"/>
      <c r="V756" s="226">
        <f t="shared" si="500"/>
        <v>1181.6833568998284</v>
      </c>
      <c r="W756" s="228"/>
      <c r="X756" s="226"/>
      <c r="Y756" s="226"/>
      <c r="Z756" s="224"/>
      <c r="AA756" s="226"/>
      <c r="AB756" s="226"/>
      <c r="AC756" s="226"/>
      <c r="AD756" s="226"/>
      <c r="AE756" s="227">
        <v>1044</v>
      </c>
      <c r="AF756" s="227">
        <v>697.79207104316004</v>
      </c>
      <c r="AG756" s="226" t="s">
        <v>155</v>
      </c>
      <c r="AH756" s="229">
        <v>0.79800000000000004</v>
      </c>
      <c r="AI756" s="225">
        <f t="shared" si="501"/>
        <v>556.83807269244176</v>
      </c>
      <c r="AJ756" s="226">
        <f t="shared" si="502"/>
        <v>0.10206770135449066</v>
      </c>
      <c r="AK756" s="226"/>
      <c r="AL756" s="226">
        <f t="shared" si="503"/>
        <v>161.33721975979967</v>
      </c>
      <c r="AM756" s="228">
        <f t="shared" si="504"/>
        <v>112579.83271253605</v>
      </c>
      <c r="AN756" s="226"/>
      <c r="AO756" s="227">
        <v>1.9289940828401999</v>
      </c>
      <c r="AP756" s="225"/>
      <c r="AQ756" s="226">
        <f t="shared" si="505"/>
        <v>1346.0367760950642</v>
      </c>
      <c r="AR756" s="226">
        <f t="shared" si="506"/>
        <v>1.4321691866614808E-3</v>
      </c>
      <c r="AS756" s="228">
        <f>AR756*'DADOS BASE'!W$38</f>
        <v>429614.61907235777</v>
      </c>
      <c r="AT756" s="225"/>
      <c r="AU756" s="227">
        <v>1.5</v>
      </c>
      <c r="AV756" s="227">
        <v>3</v>
      </c>
      <c r="AW756" s="226">
        <f t="shared" si="507"/>
        <v>0.375</v>
      </c>
      <c r="AX756" s="226">
        <f>IF($AW$11&gt;0,(AW756/$AW$11)*'DADOS BASE'!W$40,0)</f>
        <v>67.378640350935825</v>
      </c>
      <c r="AY756" s="226">
        <f t="shared" si="508"/>
        <v>0.72337278106507497</v>
      </c>
      <c r="AZ756" s="226">
        <f t="shared" si="509"/>
        <v>3.7832624657750736E-5</v>
      </c>
      <c r="BA756" s="226">
        <f>AZ756*'DADOS BASE'!W$41</f>
        <v>279.50189870791309</v>
      </c>
      <c r="BB756" s="225"/>
      <c r="BC756" s="227">
        <v>0</v>
      </c>
      <c r="BD756" s="226">
        <f>IF($BC$11&gt;0,(BC756/$BC$11)*'DADOS BASE'!W$39,0)</f>
        <v>0</v>
      </c>
      <c r="BE756" s="187"/>
    </row>
    <row r="757" spans="2:57" x14ac:dyDescent="0.3">
      <c r="B757" s="184" t="s">
        <v>804</v>
      </c>
      <c r="C757" s="184" t="s">
        <v>841</v>
      </c>
      <c r="D757" s="184" t="s">
        <v>94</v>
      </c>
      <c r="E757" s="184">
        <v>2010</v>
      </c>
      <c r="F757" s="185"/>
      <c r="H757" s="186">
        <f ca="1">IF(AND(E757&gt;=2018,SUMIF('DADOS BASE'!$C$101:$D$104,D757,'DADOS BASE'!$H$101:$H$104)&gt;J757),
SUMIF('DADOS BASE'!$C$101:$D$104,D757,'DADOS BASE'!$H$101:$H$104),
J757)</f>
        <v>2513950.2648240887</v>
      </c>
      <c r="J757" s="186">
        <f t="shared" si="498"/>
        <v>2513950.2648240887</v>
      </c>
      <c r="K757" s="186"/>
      <c r="L757" s="188">
        <v>2552.6376662887001</v>
      </c>
      <c r="M757" s="186">
        <f t="shared" si="499"/>
        <v>1.9914496083218792E-3</v>
      </c>
      <c r="N757" s="186">
        <f>L757*'DADOS BASE'!$I$29</f>
        <v>2513674.5387074789</v>
      </c>
      <c r="O757" s="187"/>
      <c r="P757" s="188">
        <v>0</v>
      </c>
      <c r="Q757" s="186">
        <f>P757*'DADOS BASE'!$I$33</f>
        <v>0</v>
      </c>
      <c r="R757" s="186"/>
      <c r="S757" s="188">
        <v>0.35</v>
      </c>
      <c r="T757" s="186">
        <f>S757*'DADOS BASE'!$I$37</f>
        <v>275.72611660995994</v>
      </c>
      <c r="U757" s="186"/>
      <c r="V757" s="186">
        <f t="shared" si="500"/>
        <v>275.72611660995994</v>
      </c>
      <c r="W757" s="187"/>
      <c r="X757" s="186"/>
      <c r="Y757" s="186"/>
      <c r="Z757" s="185"/>
      <c r="AA757" s="186"/>
      <c r="AB757" s="186"/>
      <c r="AC757" s="186"/>
      <c r="AD757" s="186"/>
      <c r="AE757" s="188">
        <v>1817</v>
      </c>
      <c r="AF757" s="188">
        <v>1170.2676047986999</v>
      </c>
      <c r="AG757" s="186" t="s">
        <v>155</v>
      </c>
      <c r="AH757" s="189">
        <v>0.76500000000000001</v>
      </c>
      <c r="AI757" s="183">
        <f t="shared" si="501"/>
        <v>895.25471767100544</v>
      </c>
      <c r="AJ757" s="186">
        <f t="shared" si="502"/>
        <v>5.7557497272857215E-2</v>
      </c>
      <c r="AK757" s="186"/>
      <c r="AL757" s="186">
        <f t="shared" si="503"/>
        <v>169.33465184716803</v>
      </c>
      <c r="AM757" s="187">
        <f t="shared" si="504"/>
        <v>198166.85742660708</v>
      </c>
      <c r="AN757" s="186"/>
      <c r="AO757" s="188">
        <v>0.93258971871968999</v>
      </c>
      <c r="AQ757" s="186">
        <f t="shared" si="505"/>
        <v>1091.3795363859849</v>
      </c>
      <c r="AR757" s="186">
        <f t="shared" si="506"/>
        <v>1.1612165215124182E-3</v>
      </c>
      <c r="AS757" s="187">
        <f>AR757*'DADOS BASE'!W$38</f>
        <v>348335.65628723736</v>
      </c>
      <c r="AU757" s="188">
        <v>0.35</v>
      </c>
      <c r="AV757" s="188">
        <v>1.75</v>
      </c>
      <c r="AW757" s="186">
        <f t="shared" si="507"/>
        <v>8.7499999999999994E-2</v>
      </c>
      <c r="AX757" s="186">
        <f>IF($AW$11&gt;0,(AW757/$AW$11)*'DADOS BASE'!W$40,0)</f>
        <v>15.721682748551691</v>
      </c>
      <c r="AY757" s="186">
        <f t="shared" si="508"/>
        <v>8.1601600387972872E-2</v>
      </c>
      <c r="AZ757" s="186">
        <f t="shared" si="509"/>
        <v>4.2677894437836443E-6</v>
      </c>
      <c r="BA757" s="186">
        <f>AZ757*'DADOS BASE'!W$41</f>
        <v>31.529804331953422</v>
      </c>
      <c r="BC757" s="188">
        <v>0</v>
      </c>
      <c r="BD757" s="186">
        <f>IF($BC$11&gt;0,(BC757/$BC$11)*'DADOS BASE'!W$39,0)</f>
        <v>0</v>
      </c>
      <c r="BE757" s="187"/>
    </row>
    <row r="758" spans="2:57" x14ac:dyDescent="0.3">
      <c r="B758" s="223" t="s">
        <v>804</v>
      </c>
      <c r="C758" s="223" t="s">
        <v>842</v>
      </c>
      <c r="D758" s="223" t="s">
        <v>94</v>
      </c>
      <c r="E758" s="223">
        <v>2010</v>
      </c>
      <c r="F758" s="224"/>
      <c r="G758" s="225"/>
      <c r="H758" s="226">
        <f ca="1">IF(AND(E758&gt;=2018,SUMIF('DADOS BASE'!$C$101:$D$104,D758,'DADOS BASE'!$H$101:$H$104)&gt;J758),
SUMIF('DADOS BASE'!$C$101:$D$104,D758,'DADOS BASE'!$H$101:$H$104),
J758)</f>
        <v>2306268.7957296767</v>
      </c>
      <c r="I758" s="225"/>
      <c r="J758" s="226">
        <f t="shared" si="498"/>
        <v>2306268.7957296767</v>
      </c>
      <c r="K758" s="226"/>
      <c r="L758" s="227">
        <v>2328.7233757778999</v>
      </c>
      <c r="M758" s="226">
        <f t="shared" si="499"/>
        <v>1.8167620559033167E-3</v>
      </c>
      <c r="N758" s="226">
        <f>L758*'DADOS BASE'!$I$29</f>
        <v>2293178.0466502742</v>
      </c>
      <c r="O758" s="228"/>
      <c r="P758" s="227">
        <v>41.727272727272997</v>
      </c>
      <c r="Q758" s="226">
        <f>P758*'DADOS BASE'!$I$33</f>
        <v>10272.588273049711</v>
      </c>
      <c r="R758" s="226"/>
      <c r="S758" s="227">
        <v>3.5773045163465</v>
      </c>
      <c r="T758" s="226">
        <f>S758*'DADOS BASE'!$I$37</f>
        <v>2818.1608063528324</v>
      </c>
      <c r="U758" s="226"/>
      <c r="V758" s="226">
        <f t="shared" si="500"/>
        <v>13090.749079402543</v>
      </c>
      <c r="W758" s="228"/>
      <c r="X758" s="226"/>
      <c r="Y758" s="226"/>
      <c r="Z758" s="224"/>
      <c r="AA758" s="226"/>
      <c r="AB758" s="226"/>
      <c r="AC758" s="226"/>
      <c r="AD758" s="226"/>
      <c r="AE758" s="227">
        <v>1218</v>
      </c>
      <c r="AF758" s="227">
        <v>1033.0081308522999</v>
      </c>
      <c r="AG758" s="226" t="s">
        <v>155</v>
      </c>
      <c r="AH758" s="229">
        <v>0.79</v>
      </c>
      <c r="AI758" s="225">
        <f t="shared" si="501"/>
        <v>816.07642337331697</v>
      </c>
      <c r="AJ758" s="226">
        <f t="shared" si="502"/>
        <v>9.1277348849852252E-2</v>
      </c>
      <c r="AK758" s="226"/>
      <c r="AL758" s="226">
        <f t="shared" si="503"/>
        <v>163.27599117491928</v>
      </c>
      <c r="AM758" s="228">
        <f t="shared" si="504"/>
        <v>168665.42645665997</v>
      </c>
      <c r="AN758" s="226"/>
      <c r="AO758" s="227">
        <v>1.8082669322709</v>
      </c>
      <c r="AP758" s="225"/>
      <c r="AQ758" s="226">
        <f t="shared" si="505"/>
        <v>1867.9544437871848</v>
      </c>
      <c r="AR758" s="226">
        <f t="shared" si="506"/>
        <v>1.9874841787312749E-3</v>
      </c>
      <c r="AS758" s="228">
        <f>AR758*'DADOS BASE'!W$38</f>
        <v>596195.10481745761</v>
      </c>
      <c r="AT758" s="225"/>
      <c r="AU758" s="227">
        <v>3.5773045163465</v>
      </c>
      <c r="AV758" s="227">
        <v>35.25</v>
      </c>
      <c r="AW758" s="226">
        <f t="shared" si="507"/>
        <v>0.89432612908662501</v>
      </c>
      <c r="AX758" s="226">
        <f>IF($AW$11&gt;0,(AW758/$AW$11)*'DADOS BASE'!W$40,0)</f>
        <v>160.6892762884595</v>
      </c>
      <c r="AY758" s="226">
        <f t="shared" si="508"/>
        <v>1.6171803658931803</v>
      </c>
      <c r="AZ758" s="226">
        <f t="shared" si="509"/>
        <v>8.457904332070342E-5</v>
      </c>
      <c r="BA758" s="226">
        <f>AZ758*'DADOS BASE'!W$41</f>
        <v>624.85760406243276</v>
      </c>
      <c r="BB758" s="225"/>
      <c r="BC758" s="227">
        <v>0</v>
      </c>
      <c r="BD758" s="226">
        <f>IF($BC$11&gt;0,(BC758/$BC$11)*'DADOS BASE'!W$39,0)</f>
        <v>0</v>
      </c>
      <c r="BE758" s="187"/>
    </row>
    <row r="759" spans="2:57" x14ac:dyDescent="0.3">
      <c r="F759" s="185"/>
      <c r="H759" s="186"/>
      <c r="J759" s="186"/>
      <c r="K759" s="186"/>
      <c r="L759" s="186"/>
      <c r="M759" s="186"/>
      <c r="N759" s="186"/>
      <c r="O759" s="187"/>
      <c r="P759" s="186"/>
      <c r="Q759" s="186"/>
      <c r="R759" s="186"/>
      <c r="S759" s="186"/>
      <c r="T759" s="186"/>
      <c r="U759" s="186"/>
      <c r="V759" s="186"/>
      <c r="W759" s="187"/>
      <c r="X759" s="186"/>
      <c r="Y759" s="186"/>
      <c r="Z759" s="185"/>
      <c r="AA759" s="186"/>
      <c r="AB759" s="186"/>
      <c r="AC759" s="186"/>
      <c r="AD759" s="186"/>
      <c r="AE759" s="186"/>
      <c r="AF759" s="186"/>
      <c r="AG759" s="186"/>
      <c r="AH759" s="185"/>
      <c r="AJ759" s="186"/>
      <c r="AK759" s="186"/>
      <c r="AL759" s="186"/>
      <c r="AM759" s="187"/>
      <c r="AN759" s="186"/>
      <c r="AO759" s="186"/>
      <c r="AQ759" s="186"/>
      <c r="AR759" s="186"/>
      <c r="AS759" s="187"/>
      <c r="AU759" s="186"/>
      <c r="AV759" s="186"/>
      <c r="AW759" s="186"/>
      <c r="AX759" s="186"/>
      <c r="AY759" s="186"/>
      <c r="AZ759" s="186"/>
      <c r="BA759" s="186"/>
      <c r="BC759" s="186"/>
      <c r="BD759" s="186"/>
      <c r="BE759" s="187"/>
    </row>
    <row r="760" spans="2:57" x14ac:dyDescent="0.3">
      <c r="B760" s="209" t="s">
        <v>843</v>
      </c>
      <c r="C760" s="209" t="s">
        <v>844</v>
      </c>
      <c r="D760" s="211" t="s">
        <v>154</v>
      </c>
      <c r="E760" s="211"/>
      <c r="F760" s="210"/>
      <c r="G760" s="211"/>
      <c r="H760" s="212">
        <f ca="1">SUM(H761:H773)</f>
        <v>26902396.301114116</v>
      </c>
      <c r="I760" s="211"/>
      <c r="J760" s="212">
        <f>SUM(J761:J773)</f>
        <v>26902396.301114116</v>
      </c>
      <c r="K760" s="212"/>
      <c r="L760" s="212">
        <f>SUM(L761:L773)</f>
        <v>24759.478228996741</v>
      </c>
      <c r="M760" s="212">
        <f>SUM(M761:M773)</f>
        <v>1.9316197466081368E-2</v>
      </c>
      <c r="N760" s="212">
        <f>SUM(N761:N773)</f>
        <v>24381552.790607564</v>
      </c>
      <c r="O760" s="214"/>
      <c r="P760" s="212">
        <f>SUM(P761:P773)</f>
        <v>824.74039938676003</v>
      </c>
      <c r="Q760" s="212">
        <f>SUM(Q761:Q773)</f>
        <v>203037.91744130244</v>
      </c>
      <c r="R760" s="212"/>
      <c r="S760" s="212">
        <f>SUM(S761:S773)</f>
        <v>2942.1658258089469</v>
      </c>
      <c r="T760" s="212">
        <f>SUM(T761:T773)</f>
        <v>2317805.5930652479</v>
      </c>
      <c r="U760" s="212"/>
      <c r="V760" s="212">
        <f>SUM(V761:V773)</f>
        <v>2520843.5105065503</v>
      </c>
      <c r="W760" s="214"/>
      <c r="X760" s="212">
        <f>SUMIF(INDICADORES!$D$13:$D$53,C760,INDICADORES!$L$13:$L$53)</f>
        <v>7.339820827431431E-3</v>
      </c>
      <c r="Y760" s="212">
        <f>X760*'DADOS BASE'!$I$79</f>
        <v>304772.96953085851</v>
      </c>
      <c r="Z760" s="210">
        <f>SUMIF(INDICADORES!$D$13:$D$53,C760,INDICADORES!$R$13:$R$53)</f>
        <v>3.3397329359848696E-2</v>
      </c>
      <c r="AA760" s="212">
        <f>Z760*'DADOS BASE'!$I$84</f>
        <v>1386764.5386329156</v>
      </c>
      <c r="AB760" s="212">
        <f>SUMIF(INDICADORES!$D$13:$D$53,C760,INDICADORES!$Z$13:$Z$53)</f>
        <v>1.6458135943521263E-2</v>
      </c>
      <c r="AC760" s="212">
        <f>AB760*'DADOS BASE'!$I$89</f>
        <v>1366789.4850247672</v>
      </c>
      <c r="AD760" s="212"/>
      <c r="AE760" s="212">
        <f>SUM(AE761:AE773)</f>
        <v>12824</v>
      </c>
      <c r="AF760" s="212">
        <f>SUM(AF761:AF773)</f>
        <v>10118.642070109359</v>
      </c>
      <c r="AG760" s="212" t="s">
        <v>155</v>
      </c>
      <c r="AH760" s="210"/>
      <c r="AI760" s="211"/>
      <c r="AJ760" s="212"/>
      <c r="AK760" s="212"/>
      <c r="AL760" s="212"/>
      <c r="AM760" s="214">
        <f>SUM(AM761:AM773)</f>
        <v>1783357.0322347686</v>
      </c>
      <c r="AN760" s="212"/>
      <c r="AO760" s="212"/>
      <c r="AP760" s="211"/>
      <c r="AQ760" s="212">
        <f>SUM(AQ761:AQ773)</f>
        <v>19268.090860973381</v>
      </c>
      <c r="AR760" s="212"/>
      <c r="AS760" s="214">
        <f>SUM(AS761:AS773)</f>
        <v>6149797.4368153755</v>
      </c>
      <c r="AT760" s="211"/>
      <c r="AU760" s="212">
        <f t="shared" ref="AU760:BA760" si="510">SUM(AU761:AU773)</f>
        <v>2233.2058593784495</v>
      </c>
      <c r="AV760" s="212">
        <f t="shared" si="510"/>
        <v>1420</v>
      </c>
      <c r="AW760" s="212">
        <f t="shared" si="510"/>
        <v>558.30146484461238</v>
      </c>
      <c r="AX760" s="212">
        <f t="shared" si="510"/>
        <v>100313.58295244207</v>
      </c>
      <c r="AY760" s="212">
        <f t="shared" si="510"/>
        <v>851.7934868514393</v>
      </c>
      <c r="AZ760" s="212">
        <f t="shared" si="510"/>
        <v>4.4549068084258216E-2</v>
      </c>
      <c r="BA760" s="212">
        <f t="shared" si="510"/>
        <v>329122.00059763307</v>
      </c>
      <c r="BB760" s="211"/>
      <c r="BC760" s="212">
        <f>SUM(BC761:BC773)</f>
        <v>74.5</v>
      </c>
      <c r="BD760" s="212">
        <f>SUM(BD761:BD773)</f>
        <v>402538.69893229217</v>
      </c>
      <c r="BE760" s="187"/>
    </row>
    <row r="761" spans="2:57" x14ac:dyDescent="0.3">
      <c r="B761" s="216" t="s">
        <v>843</v>
      </c>
      <c r="C761" s="218" t="s">
        <v>156</v>
      </c>
      <c r="D761" s="218" t="s">
        <v>157</v>
      </c>
      <c r="E761" s="218"/>
      <c r="F761" s="217"/>
      <c r="G761" s="218"/>
      <c r="H761" s="219"/>
      <c r="I761" s="218"/>
      <c r="J761" s="219"/>
      <c r="K761" s="219"/>
      <c r="L761" s="219">
        <v>0</v>
      </c>
      <c r="M761" s="219">
        <v>0</v>
      </c>
      <c r="N761" s="219">
        <v>0</v>
      </c>
      <c r="O761" s="221"/>
      <c r="P761" s="219"/>
      <c r="Q761" s="219"/>
      <c r="R761" s="219"/>
      <c r="S761" s="219"/>
      <c r="T761" s="219"/>
      <c r="U761" s="219"/>
      <c r="V761" s="219"/>
      <c r="W761" s="221"/>
      <c r="X761" s="219"/>
      <c r="Y761" s="219"/>
      <c r="Z761" s="217"/>
      <c r="AA761" s="219"/>
      <c r="AB761" s="219"/>
      <c r="AC761" s="219"/>
      <c r="AD761" s="219"/>
      <c r="AE761" s="219"/>
      <c r="AF761" s="219"/>
      <c r="AG761" s="219" t="s">
        <v>155</v>
      </c>
      <c r="AH761" s="217"/>
      <c r="AI761" s="218"/>
      <c r="AJ761" s="219"/>
      <c r="AK761" s="219"/>
      <c r="AL761" s="219"/>
      <c r="AM761" s="221"/>
      <c r="AN761" s="219"/>
      <c r="AO761" s="219"/>
      <c r="AP761" s="218"/>
      <c r="AQ761" s="219"/>
      <c r="AR761" s="219"/>
      <c r="AS761" s="221"/>
      <c r="AT761" s="218"/>
      <c r="AU761" s="219"/>
      <c r="AV761" s="219"/>
      <c r="AW761" s="219"/>
      <c r="AX761" s="219"/>
      <c r="AY761" s="219"/>
      <c r="AZ761" s="219"/>
      <c r="BA761" s="219"/>
      <c r="BB761" s="218"/>
      <c r="BC761" s="219"/>
      <c r="BD761" s="219"/>
      <c r="BE761" s="187"/>
    </row>
    <row r="762" spans="2:57" x14ac:dyDescent="0.3">
      <c r="B762" s="223" t="s">
        <v>843</v>
      </c>
      <c r="C762" s="223" t="s">
        <v>845</v>
      </c>
      <c r="D762" s="223" t="s">
        <v>94</v>
      </c>
      <c r="E762" s="223">
        <v>2009</v>
      </c>
      <c r="F762" s="224"/>
      <c r="G762" s="225"/>
      <c r="H762" s="226">
        <f ca="1">IF(AND(E762&gt;=2018,SUMIF('DADOS BASE'!$C$101:$D$104,D762,'DADOS BASE'!$H$101:$H$104)&gt;J762),
SUMIF('DADOS BASE'!$C$101:$D$104,D762,'DADOS BASE'!$H$101:$H$104),
J762)</f>
        <v>1575793.4312300482</v>
      </c>
      <c r="I762" s="225"/>
      <c r="J762" s="226">
        <f t="shared" ref="J762:J773" si="511">N762+Q762+T762</f>
        <v>1575793.4312300482</v>
      </c>
      <c r="K762" s="226"/>
      <c r="L762" s="227">
        <v>1600.2189642722999</v>
      </c>
      <c r="M762" s="226">
        <f t="shared" ref="M762:M773" si="512">L762/$L$11</f>
        <v>1.2484166757057078E-3</v>
      </c>
      <c r="N762" s="226">
        <f>L762*'DADOS BASE'!$I$29</f>
        <v>1575793.4312300482</v>
      </c>
      <c r="O762" s="228"/>
      <c r="P762" s="227">
        <v>0</v>
      </c>
      <c r="Q762" s="226">
        <f>P762*'DADOS BASE'!$I$33</f>
        <v>0</v>
      </c>
      <c r="R762" s="226"/>
      <c r="S762" s="227">
        <v>0</v>
      </c>
      <c r="T762" s="226">
        <f>S762*'DADOS BASE'!$I$37</f>
        <v>0</v>
      </c>
      <c r="U762" s="226"/>
      <c r="V762" s="226">
        <f t="shared" ref="V762:V773" si="513">T762+Q762</f>
        <v>0</v>
      </c>
      <c r="W762" s="228"/>
      <c r="X762" s="226"/>
      <c r="Y762" s="226"/>
      <c r="Z762" s="224"/>
      <c r="AA762" s="226"/>
      <c r="AB762" s="226"/>
      <c r="AC762" s="226"/>
      <c r="AD762" s="226"/>
      <c r="AE762" s="227">
        <v>1188</v>
      </c>
      <c r="AF762" s="227">
        <v>830.40968541893994</v>
      </c>
      <c r="AG762" s="226" t="s">
        <v>155</v>
      </c>
      <c r="AH762" s="229">
        <v>0.752</v>
      </c>
      <c r="AI762" s="225">
        <f t="shared" ref="AI762:AI773" si="514">AF762*AH762</f>
        <v>624.46808343504279</v>
      </c>
      <c r="AJ762" s="226">
        <f t="shared" ref="AJ762:AJ773" si="515">(AH762-$AI$12)*$AJ$12</f>
        <v>4.0023174452819797E-2</v>
      </c>
      <c r="AK762" s="226"/>
      <c r="AL762" s="226">
        <f t="shared" ref="AL762:AL773" si="516">$AL$11-(AJ762*$AL$11)</f>
        <v>172.48515539673738</v>
      </c>
      <c r="AM762" s="228">
        <f t="shared" ref="AM762:AM773" si="517">AF762*AL762</f>
        <v>143233.34363244165</v>
      </c>
      <c r="AN762" s="226"/>
      <c r="AO762" s="227">
        <v>1.9936921783010999</v>
      </c>
      <c r="AP762" s="225"/>
      <c r="AQ762" s="226">
        <f t="shared" ref="AQ762:AQ773" si="518">AF762*AO762</f>
        <v>1655.5812946052174</v>
      </c>
      <c r="AR762" s="226">
        <f t="shared" ref="AR762:AR773" si="519">AQ762/$AQ$11</f>
        <v>1.7615213478975988E-3</v>
      </c>
      <c r="AS762" s="228">
        <f>AR762*'DADOS BASE'!W$38</f>
        <v>528411.95712984621</v>
      </c>
      <c r="AT762" s="225"/>
      <c r="AU762" s="227">
        <v>0</v>
      </c>
      <c r="AV762" s="227">
        <v>0</v>
      </c>
      <c r="AW762" s="226">
        <f t="shared" ref="AW762:AW773" si="520">AU762/4</f>
        <v>0</v>
      </c>
      <c r="AX762" s="226">
        <f>IF($AW$11&gt;0,(AW762/$AW$11)*'DADOS BASE'!W$40,0)</f>
        <v>0</v>
      </c>
      <c r="AY762" s="226">
        <f t="shared" ref="AY762:AY773" si="521">AO762*AW762</f>
        <v>0</v>
      </c>
      <c r="AZ762" s="226">
        <f t="shared" ref="AZ762:AZ773" si="522">IF($AY$11&gt;0,AY762/$AY$11,0)</f>
        <v>0</v>
      </c>
      <c r="BA762" s="226">
        <f>AZ762*'DADOS BASE'!W$41</f>
        <v>0</v>
      </c>
      <c r="BB762" s="225"/>
      <c r="BC762" s="227">
        <v>0</v>
      </c>
      <c r="BD762" s="226">
        <f>IF($BC$11&gt;0,(BC762/$BC$11)*'DADOS BASE'!W$39,0)</f>
        <v>0</v>
      </c>
      <c r="BE762" s="187"/>
    </row>
    <row r="763" spans="2:57" x14ac:dyDescent="0.3">
      <c r="B763" s="184" t="s">
        <v>843</v>
      </c>
      <c r="C763" s="184" t="s">
        <v>846</v>
      </c>
      <c r="D763" s="184" t="s">
        <v>92</v>
      </c>
      <c r="E763" s="184">
        <v>1985</v>
      </c>
      <c r="F763" s="185"/>
      <c r="H763" s="186">
        <f ca="1">IF(AND(E763&gt;=2018,SUMIF('DADOS BASE'!$C$101:$D$104,D763,'DADOS BASE'!$H$101:$H$104)&gt;J763),
SUMIF('DADOS BASE'!$C$101:$D$104,D763,'DADOS BASE'!$H$101:$H$104),
J763)</f>
        <v>4540788.8076169696</v>
      </c>
      <c r="J763" s="186">
        <f t="shared" si="511"/>
        <v>4540788.8076169696</v>
      </c>
      <c r="K763" s="186"/>
      <c r="L763" s="188">
        <v>4611.1731516942</v>
      </c>
      <c r="M763" s="186">
        <f t="shared" si="512"/>
        <v>3.5974235936888361E-3</v>
      </c>
      <c r="N763" s="186">
        <f>L763*'DADOS BASE'!$I$29</f>
        <v>4540788.8076169696</v>
      </c>
      <c r="O763" s="187"/>
      <c r="P763" s="188">
        <v>0</v>
      </c>
      <c r="Q763" s="186">
        <f>P763*'DADOS BASE'!$I$33</f>
        <v>0</v>
      </c>
      <c r="R763" s="186"/>
      <c r="S763" s="188">
        <v>0</v>
      </c>
      <c r="T763" s="186">
        <f>S763*'DADOS BASE'!$I$37</f>
        <v>0</v>
      </c>
      <c r="U763" s="186"/>
      <c r="V763" s="186">
        <f t="shared" si="513"/>
        <v>0</v>
      </c>
      <c r="W763" s="187"/>
      <c r="X763" s="186"/>
      <c r="Y763" s="186"/>
      <c r="Z763" s="185"/>
      <c r="AA763" s="186"/>
      <c r="AB763" s="186"/>
      <c r="AC763" s="186"/>
      <c r="AD763" s="186"/>
      <c r="AE763" s="188">
        <v>1577</v>
      </c>
      <c r="AF763" s="188">
        <v>1390.5806804447</v>
      </c>
      <c r="AG763" s="186" t="s">
        <v>155</v>
      </c>
      <c r="AH763" s="189">
        <v>0.63100000000000001</v>
      </c>
      <c r="AI763" s="183">
        <f t="shared" si="514"/>
        <v>877.45640936060568</v>
      </c>
      <c r="AJ763" s="186">
        <f t="shared" si="515"/>
        <v>-0.12318090717983601</v>
      </c>
      <c r="AK763" s="186"/>
      <c r="AL763" s="186">
        <f t="shared" si="516"/>
        <v>201.80907305042135</v>
      </c>
      <c r="AM763" s="187">
        <f t="shared" si="517"/>
        <v>280631.7981223691</v>
      </c>
      <c r="AN763" s="186"/>
      <c r="AO763" s="188">
        <v>1.8321385902031</v>
      </c>
      <c r="AQ763" s="186">
        <f t="shared" si="518"/>
        <v>2547.7365274336203</v>
      </c>
      <c r="AR763" s="186">
        <f t="shared" si="519"/>
        <v>2.7107652741165944E-3</v>
      </c>
      <c r="AS763" s="187">
        <f>AR763*'DADOS BASE'!W$38</f>
        <v>813161.1833856937</v>
      </c>
      <c r="AU763" s="188">
        <v>0</v>
      </c>
      <c r="AV763" s="188">
        <v>0</v>
      </c>
      <c r="AW763" s="186">
        <f t="shared" si="520"/>
        <v>0</v>
      </c>
      <c r="AX763" s="186">
        <f>IF($AW$11&gt;0,(AW763/$AW$11)*'DADOS BASE'!W$40,0)</f>
        <v>0</v>
      </c>
      <c r="AY763" s="186">
        <f t="shared" si="521"/>
        <v>0</v>
      </c>
      <c r="AZ763" s="186">
        <f t="shared" si="522"/>
        <v>0</v>
      </c>
      <c r="BA763" s="186">
        <f>AZ763*'DADOS BASE'!W$41</f>
        <v>0</v>
      </c>
      <c r="BC763" s="188">
        <v>74.5</v>
      </c>
      <c r="BD763" s="186">
        <f>IF($BC$11&gt;0,(BC763/$BC$11)*'DADOS BASE'!W$39,0)</f>
        <v>402538.69893229217</v>
      </c>
      <c r="BE763" s="187"/>
    </row>
    <row r="764" spans="2:57" x14ac:dyDescent="0.3">
      <c r="B764" s="223" t="s">
        <v>843</v>
      </c>
      <c r="C764" s="223" t="s">
        <v>847</v>
      </c>
      <c r="D764" s="223" t="s">
        <v>96</v>
      </c>
      <c r="E764" s="223">
        <v>2015</v>
      </c>
      <c r="F764" s="224"/>
      <c r="G764" s="225"/>
      <c r="H764" s="226">
        <f ca="1">IF(AND(E764&gt;=2018,SUMIF('DADOS BASE'!$C$101:$D$104,D764,'DADOS BASE'!$H$101:$H$104)&gt;J764),
SUMIF('DADOS BASE'!$C$101:$D$104,D764,'DADOS BASE'!$H$101:$H$104),
J764)</f>
        <v>567185.03366844682</v>
      </c>
      <c r="I764" s="225"/>
      <c r="J764" s="226">
        <f t="shared" si="511"/>
        <v>567185.03366844682</v>
      </c>
      <c r="K764" s="226"/>
      <c r="L764" s="227">
        <v>575.97666619233996</v>
      </c>
      <c r="M764" s="226">
        <f t="shared" si="512"/>
        <v>4.4935030201875495E-4</v>
      </c>
      <c r="N764" s="226">
        <f>L764*'DADOS BASE'!$I$29</f>
        <v>567185.03366844682</v>
      </c>
      <c r="O764" s="228"/>
      <c r="P764" s="227">
        <v>0</v>
      </c>
      <c r="Q764" s="226">
        <f>P764*'DADOS BASE'!$I$33</f>
        <v>0</v>
      </c>
      <c r="R764" s="226"/>
      <c r="S764" s="227">
        <v>0</v>
      </c>
      <c r="T764" s="226">
        <f>S764*'DADOS BASE'!$I$37</f>
        <v>0</v>
      </c>
      <c r="U764" s="226"/>
      <c r="V764" s="226">
        <f t="shared" si="513"/>
        <v>0</v>
      </c>
      <c r="W764" s="228"/>
      <c r="X764" s="226"/>
      <c r="Y764" s="226"/>
      <c r="Z764" s="224"/>
      <c r="AA764" s="226"/>
      <c r="AB764" s="226"/>
      <c r="AC764" s="226"/>
      <c r="AD764" s="226"/>
      <c r="AE764" s="227">
        <v>307</v>
      </c>
      <c r="AF764" s="227">
        <v>201.34071110400001</v>
      </c>
      <c r="AG764" s="226" t="s">
        <v>155</v>
      </c>
      <c r="AH764" s="229">
        <v>0.67</v>
      </c>
      <c r="AI764" s="225">
        <f t="shared" si="514"/>
        <v>134.89827643968002</v>
      </c>
      <c r="AJ764" s="226">
        <f t="shared" si="515"/>
        <v>-7.057793871972376E-2</v>
      </c>
      <c r="AK764" s="226"/>
      <c r="AL764" s="226">
        <f t="shared" si="516"/>
        <v>192.3575624017133</v>
      </c>
      <c r="AM764" s="228">
        <f t="shared" si="517"/>
        <v>38729.40840019301</v>
      </c>
      <c r="AN764" s="226"/>
      <c r="AO764" s="227">
        <v>1.9075907590759</v>
      </c>
      <c r="AP764" s="225"/>
      <c r="AQ764" s="226">
        <f t="shared" si="518"/>
        <v>384.07567992776086</v>
      </c>
      <c r="AR764" s="226">
        <f t="shared" si="519"/>
        <v>4.0865254494335473E-4</v>
      </c>
      <c r="AS764" s="228">
        <f>AR764*'DADOS BASE'!W$38</f>
        <v>122585.45223839286</v>
      </c>
      <c r="AT764" s="225"/>
      <c r="AU764" s="227">
        <v>0</v>
      </c>
      <c r="AV764" s="227">
        <v>0</v>
      </c>
      <c r="AW764" s="226">
        <f t="shared" si="520"/>
        <v>0</v>
      </c>
      <c r="AX764" s="226">
        <f>IF($AW$11&gt;0,(AW764/$AW$11)*'DADOS BASE'!W$40,0)</f>
        <v>0</v>
      </c>
      <c r="AY764" s="226">
        <f t="shared" si="521"/>
        <v>0</v>
      </c>
      <c r="AZ764" s="226">
        <f t="shared" si="522"/>
        <v>0</v>
      </c>
      <c r="BA764" s="226">
        <f>AZ764*'DADOS BASE'!W$41</f>
        <v>0</v>
      </c>
      <c r="BB764" s="225"/>
      <c r="BC764" s="227">
        <v>0</v>
      </c>
      <c r="BD764" s="226">
        <f>IF($BC$11&gt;0,(BC764/$BC$11)*'DADOS BASE'!W$39,0)</f>
        <v>0</v>
      </c>
      <c r="BE764" s="187"/>
    </row>
    <row r="765" spans="2:57" x14ac:dyDescent="0.3">
      <c r="B765" s="184" t="s">
        <v>843</v>
      </c>
      <c r="C765" s="184" t="s">
        <v>848</v>
      </c>
      <c r="D765" s="184" t="s">
        <v>92</v>
      </c>
      <c r="E765" s="184">
        <v>2014</v>
      </c>
      <c r="F765" s="185"/>
      <c r="H765" s="186">
        <f ca="1">IF(AND(E765&gt;=2018,SUMIF('DADOS BASE'!$C$101:$D$104,D765,'DADOS BASE'!$H$101:$H$104)&gt;J765),
SUMIF('DADOS BASE'!$C$101:$D$104,D765,'DADOS BASE'!$H$101:$H$104),
J765)</f>
        <v>816221.28244200919</v>
      </c>
      <c r="J765" s="186">
        <f t="shared" si="511"/>
        <v>816221.28244200919</v>
      </c>
      <c r="K765" s="186"/>
      <c r="L765" s="188">
        <v>828.87309295787998</v>
      </c>
      <c r="M765" s="186">
        <f t="shared" si="512"/>
        <v>6.4664837400108595E-4</v>
      </c>
      <c r="N765" s="186">
        <f>L765*'DADOS BASE'!$I$29</f>
        <v>816221.28244200919</v>
      </c>
      <c r="O765" s="187"/>
      <c r="P765" s="188">
        <v>0</v>
      </c>
      <c r="Q765" s="186">
        <f>P765*'DADOS BASE'!$I$33</f>
        <v>0</v>
      </c>
      <c r="R765" s="186"/>
      <c r="S765" s="188">
        <v>0</v>
      </c>
      <c r="T765" s="186">
        <f>S765*'DADOS BASE'!$I$37</f>
        <v>0</v>
      </c>
      <c r="U765" s="186"/>
      <c r="V765" s="186">
        <f t="shared" si="513"/>
        <v>0</v>
      </c>
      <c r="W765" s="187"/>
      <c r="X765" s="186"/>
      <c r="Y765" s="186"/>
      <c r="Z765" s="185"/>
      <c r="AA765" s="186"/>
      <c r="AB765" s="186"/>
      <c r="AC765" s="186"/>
      <c r="AD765" s="186"/>
      <c r="AE765" s="188">
        <v>331</v>
      </c>
      <c r="AF765" s="188">
        <v>222.27627647657999</v>
      </c>
      <c r="AG765" s="186" t="s">
        <v>155</v>
      </c>
      <c r="AH765" s="189">
        <v>0.627</v>
      </c>
      <c r="AI765" s="183">
        <f t="shared" si="514"/>
        <v>139.36722535081566</v>
      </c>
      <c r="AJ765" s="186">
        <f t="shared" si="515"/>
        <v>-0.12857608343215521</v>
      </c>
      <c r="AK765" s="186"/>
      <c r="AL765" s="186">
        <f t="shared" si="516"/>
        <v>202.77845875798116</v>
      </c>
      <c r="AM765" s="187">
        <f t="shared" si="517"/>
        <v>45072.840762383792</v>
      </c>
      <c r="AN765" s="186"/>
      <c r="AO765" s="188">
        <v>2.0173913043477998</v>
      </c>
      <c r="AQ765" s="186">
        <f t="shared" si="518"/>
        <v>448.41822732665986</v>
      </c>
      <c r="AR765" s="186">
        <f t="shared" si="519"/>
        <v>4.7711234887481946E-4</v>
      </c>
      <c r="AS765" s="187">
        <f>AR765*'DADOS BASE'!W$38</f>
        <v>143121.66601935338</v>
      </c>
      <c r="AU765" s="188">
        <v>0</v>
      </c>
      <c r="AV765" s="188">
        <v>0</v>
      </c>
      <c r="AW765" s="186">
        <f t="shared" si="520"/>
        <v>0</v>
      </c>
      <c r="AX765" s="186">
        <f>IF($AW$11&gt;0,(AW765/$AW$11)*'DADOS BASE'!W$40,0)</f>
        <v>0</v>
      </c>
      <c r="AY765" s="186">
        <f t="shared" si="521"/>
        <v>0</v>
      </c>
      <c r="AZ765" s="186">
        <f t="shared" si="522"/>
        <v>0</v>
      </c>
      <c r="BA765" s="186">
        <f>AZ765*'DADOS BASE'!W$41</f>
        <v>0</v>
      </c>
      <c r="BC765" s="188">
        <v>0</v>
      </c>
      <c r="BD765" s="186">
        <f>IF($BC$11&gt;0,(BC765/$BC$11)*'DADOS BASE'!W$39,0)</f>
        <v>0</v>
      </c>
      <c r="BE765" s="187"/>
    </row>
    <row r="766" spans="2:57" x14ac:dyDescent="0.3">
      <c r="B766" s="223" t="s">
        <v>843</v>
      </c>
      <c r="C766" s="223" t="s">
        <v>849</v>
      </c>
      <c r="D766" s="223" t="s">
        <v>96</v>
      </c>
      <c r="E766" s="223">
        <v>2014</v>
      </c>
      <c r="F766" s="224"/>
      <c r="G766" s="225"/>
      <c r="H766" s="226">
        <f ca="1">IF(AND(E766&gt;=2018,SUMIF('DADOS BASE'!$C$101:$D$104,D766,'DADOS BASE'!$H$101:$H$104)&gt;J766),
SUMIF('DADOS BASE'!$C$101:$D$104,D766,'DADOS BASE'!$H$101:$H$104),
J766)</f>
        <v>759415.60050105304</v>
      </c>
      <c r="I766" s="225"/>
      <c r="J766" s="226">
        <f t="shared" si="511"/>
        <v>759415.60050105304</v>
      </c>
      <c r="K766" s="226"/>
      <c r="L766" s="227">
        <v>761.68248967631996</v>
      </c>
      <c r="M766" s="226">
        <f t="shared" si="512"/>
        <v>5.9422937918835329E-4</v>
      </c>
      <c r="N766" s="226">
        <f>L766*'DADOS BASE'!$I$29</f>
        <v>750056.26774377713</v>
      </c>
      <c r="O766" s="228"/>
      <c r="P766" s="227">
        <v>0</v>
      </c>
      <c r="Q766" s="226">
        <f>P766*'DADOS BASE'!$I$33</f>
        <v>0</v>
      </c>
      <c r="R766" s="226"/>
      <c r="S766" s="227">
        <v>11.880508474576001</v>
      </c>
      <c r="T766" s="226">
        <f>S766*'DADOS BASE'!$I$37</f>
        <v>9359.3327572758844</v>
      </c>
      <c r="U766" s="226"/>
      <c r="V766" s="226">
        <f t="shared" si="513"/>
        <v>9359.3327572758844</v>
      </c>
      <c r="W766" s="228"/>
      <c r="X766" s="226"/>
      <c r="Y766" s="226"/>
      <c r="Z766" s="224"/>
      <c r="AA766" s="226"/>
      <c r="AB766" s="226"/>
      <c r="AC766" s="226"/>
      <c r="AD766" s="226"/>
      <c r="AE766" s="227">
        <v>304</v>
      </c>
      <c r="AF766" s="227">
        <v>205.60078416072</v>
      </c>
      <c r="AG766" s="226" t="s">
        <v>155</v>
      </c>
      <c r="AH766" s="229">
        <v>0.73199999999999998</v>
      </c>
      <c r="AI766" s="225">
        <f t="shared" si="514"/>
        <v>150.49977400564703</v>
      </c>
      <c r="AJ766" s="226">
        <f t="shared" si="515"/>
        <v>1.3047293191223773E-2</v>
      </c>
      <c r="AK766" s="226"/>
      <c r="AL766" s="226">
        <f t="shared" si="516"/>
        <v>177.3320839345364</v>
      </c>
      <c r="AM766" s="228">
        <f t="shared" si="517"/>
        <v>36459.615513795303</v>
      </c>
      <c r="AN766" s="226"/>
      <c r="AO766" s="227">
        <v>2.0069767441859998</v>
      </c>
      <c r="AP766" s="225"/>
      <c r="AQ766" s="226">
        <f t="shared" si="518"/>
        <v>412.63599239697032</v>
      </c>
      <c r="AR766" s="226">
        <f t="shared" si="519"/>
        <v>4.3904042156474109E-4</v>
      </c>
      <c r="AS766" s="228">
        <f>AR766*'DADOS BASE'!W$38</f>
        <v>131701.04846871487</v>
      </c>
      <c r="AT766" s="225"/>
      <c r="AU766" s="227">
        <v>11.880508474576001</v>
      </c>
      <c r="AV766" s="227">
        <v>13.25</v>
      </c>
      <c r="AW766" s="226">
        <f t="shared" si="520"/>
        <v>2.9701271186440001</v>
      </c>
      <c r="AX766" s="226">
        <f>IF($AW$11&gt;0,(AW766/$AW$11)*'DADOS BASE'!W$40,0)</f>
        <v>533.66167179646777</v>
      </c>
      <c r="AY766" s="226">
        <f t="shared" si="521"/>
        <v>5.9609760543946804</v>
      </c>
      <c r="AZ766" s="226">
        <f t="shared" si="522"/>
        <v>3.1176092820040191E-4</v>
      </c>
      <c r="BA766" s="226">
        <f>AZ766*'DADOS BASE'!W$41</f>
        <v>2303.2441487535511</v>
      </c>
      <c r="BB766" s="225"/>
      <c r="BC766" s="227">
        <v>0</v>
      </c>
      <c r="BD766" s="226">
        <f>IF($BC$11&gt;0,(BC766/$BC$11)*'DADOS BASE'!W$39,0)</f>
        <v>0</v>
      </c>
      <c r="BE766" s="187"/>
    </row>
    <row r="767" spans="2:57" x14ac:dyDescent="0.3">
      <c r="B767" s="184" t="s">
        <v>843</v>
      </c>
      <c r="C767" s="184" t="s">
        <v>850</v>
      </c>
      <c r="D767" s="184" t="s">
        <v>92</v>
      </c>
      <c r="E767" s="184">
        <v>2014</v>
      </c>
      <c r="F767" s="185"/>
      <c r="H767" s="186">
        <f ca="1">IF(AND(E767&gt;=2018,SUMIF('DADOS BASE'!$C$101:$D$104,D767,'DADOS BASE'!$H$101:$H$104)&gt;J767),
SUMIF('DADOS BASE'!$C$101:$D$104,D767,'DADOS BASE'!$H$101:$H$104),
J767)</f>
        <v>1810569.9946283726</v>
      </c>
      <c r="J767" s="186">
        <f t="shared" si="511"/>
        <v>1810569.9946283726</v>
      </c>
      <c r="K767" s="186"/>
      <c r="L767" s="188">
        <v>1838.6346738893999</v>
      </c>
      <c r="M767" s="186">
        <f t="shared" si="512"/>
        <v>1.434417563260212E-3</v>
      </c>
      <c r="N767" s="186">
        <f>L767*'DADOS BASE'!$I$29</f>
        <v>1810569.9946283726</v>
      </c>
      <c r="O767" s="187"/>
      <c r="P767" s="188">
        <v>0</v>
      </c>
      <c r="Q767" s="186">
        <f>P767*'DADOS BASE'!$I$33</f>
        <v>0</v>
      </c>
      <c r="R767" s="186"/>
      <c r="S767" s="188">
        <v>0</v>
      </c>
      <c r="T767" s="186">
        <f>S767*'DADOS BASE'!$I$37</f>
        <v>0</v>
      </c>
      <c r="U767" s="186"/>
      <c r="V767" s="186">
        <f t="shared" si="513"/>
        <v>0</v>
      </c>
      <c r="W767" s="187"/>
      <c r="X767" s="186"/>
      <c r="Y767" s="186"/>
      <c r="Z767" s="185"/>
      <c r="AA767" s="186"/>
      <c r="AB767" s="186"/>
      <c r="AC767" s="186"/>
      <c r="AD767" s="186"/>
      <c r="AE767" s="188">
        <v>745</v>
      </c>
      <c r="AF767" s="188">
        <v>631.89551408257</v>
      </c>
      <c r="AG767" s="186" t="s">
        <v>155</v>
      </c>
      <c r="AH767" s="189">
        <v>0.70099999999999996</v>
      </c>
      <c r="AI767" s="183">
        <f t="shared" si="514"/>
        <v>442.95875537188152</v>
      </c>
      <c r="AJ767" s="186">
        <f t="shared" si="515"/>
        <v>-2.8765322764250069E-2</v>
      </c>
      <c r="AK767" s="186"/>
      <c r="AL767" s="186">
        <f t="shared" si="516"/>
        <v>184.84482316812486</v>
      </c>
      <c r="AM767" s="187">
        <f t="shared" si="517"/>
        <v>116802.61456132401</v>
      </c>
      <c r="AN767" s="186"/>
      <c r="AO767" s="188">
        <v>1.8940628637951</v>
      </c>
      <c r="AQ767" s="186">
        <f t="shared" si="518"/>
        <v>1196.8498270225095</v>
      </c>
      <c r="AR767" s="186">
        <f t="shared" si="519"/>
        <v>1.2734358182214358E-3</v>
      </c>
      <c r="AS767" s="187">
        <f>AR767*'DADOS BASE'!W$38</f>
        <v>381998.61374870664</v>
      </c>
      <c r="AU767" s="188">
        <v>0</v>
      </c>
      <c r="AV767" s="188">
        <v>0</v>
      </c>
      <c r="AW767" s="186">
        <f t="shared" si="520"/>
        <v>0</v>
      </c>
      <c r="AX767" s="186">
        <f>IF($AW$11&gt;0,(AW767/$AW$11)*'DADOS BASE'!W$40,0)</f>
        <v>0</v>
      </c>
      <c r="AY767" s="186">
        <f t="shared" si="521"/>
        <v>0</v>
      </c>
      <c r="AZ767" s="186">
        <f t="shared" si="522"/>
        <v>0</v>
      </c>
      <c r="BA767" s="186">
        <f>AZ767*'DADOS BASE'!W$41</f>
        <v>0</v>
      </c>
      <c r="BC767" s="188">
        <v>0</v>
      </c>
      <c r="BD767" s="186">
        <f>IF($BC$11&gt;0,(BC767/$BC$11)*'DADOS BASE'!W$39,0)</f>
        <v>0</v>
      </c>
      <c r="BE767" s="187"/>
    </row>
    <row r="768" spans="2:57" x14ac:dyDescent="0.3">
      <c r="B768" s="223" t="s">
        <v>843</v>
      </c>
      <c r="C768" s="223" t="s">
        <v>851</v>
      </c>
      <c r="D768" s="223" t="s">
        <v>92</v>
      </c>
      <c r="E768" s="223">
        <v>2013</v>
      </c>
      <c r="F768" s="224"/>
      <c r="G768" s="225"/>
      <c r="H768" s="226">
        <f ca="1">IF(AND(E768&gt;=2018,SUMIF('DADOS BASE'!$C$101:$D$104,D768,'DADOS BASE'!$H$101:$H$104)&gt;J768),
SUMIF('DADOS BASE'!$C$101:$D$104,D768,'DADOS BASE'!$H$101:$H$104),
J768)</f>
        <v>1945965.5849177693</v>
      </c>
      <c r="I768" s="225"/>
      <c r="J768" s="226">
        <f t="shared" si="511"/>
        <v>1945965.5849177693</v>
      </c>
      <c r="K768" s="226"/>
      <c r="L768" s="227">
        <v>1948.7097808866999</v>
      </c>
      <c r="M768" s="226">
        <f t="shared" si="512"/>
        <v>1.5202930604413189E-3</v>
      </c>
      <c r="N768" s="226">
        <f>L768*'DADOS BASE'!$I$29</f>
        <v>1918964.9295847702</v>
      </c>
      <c r="O768" s="228"/>
      <c r="P768" s="227">
        <v>0</v>
      </c>
      <c r="Q768" s="226">
        <f>P768*'DADOS BASE'!$I$33</f>
        <v>0</v>
      </c>
      <c r="R768" s="226"/>
      <c r="S768" s="227">
        <v>34.273972602740002</v>
      </c>
      <c r="T768" s="226">
        <f>S768*'DADOS BASE'!$I$37</f>
        <v>27000.655332999035</v>
      </c>
      <c r="U768" s="226"/>
      <c r="V768" s="226">
        <f t="shared" si="513"/>
        <v>27000.655332999035</v>
      </c>
      <c r="W768" s="228"/>
      <c r="X768" s="226"/>
      <c r="Y768" s="226"/>
      <c r="Z768" s="224"/>
      <c r="AA768" s="226"/>
      <c r="AB768" s="226"/>
      <c r="AC768" s="226"/>
      <c r="AD768" s="226"/>
      <c r="AE768" s="227">
        <v>738</v>
      </c>
      <c r="AF768" s="227">
        <v>656.72695506374998</v>
      </c>
      <c r="AG768" s="226" t="s">
        <v>155</v>
      </c>
      <c r="AH768" s="229">
        <v>0.70099999999999996</v>
      </c>
      <c r="AI768" s="225">
        <f t="shared" si="514"/>
        <v>460.36559549968871</v>
      </c>
      <c r="AJ768" s="226">
        <f t="shared" si="515"/>
        <v>-2.8765322764250069E-2</v>
      </c>
      <c r="AK768" s="226"/>
      <c r="AL768" s="226">
        <f t="shared" si="516"/>
        <v>184.84482316812486</v>
      </c>
      <c r="AM768" s="228">
        <f t="shared" si="517"/>
        <v>121392.57787849994</v>
      </c>
      <c r="AN768" s="226"/>
      <c r="AO768" s="227">
        <v>2.0855978260870001</v>
      </c>
      <c r="AP768" s="225"/>
      <c r="AQ768" s="226">
        <f t="shared" si="518"/>
        <v>1369.6683098136918</v>
      </c>
      <c r="AR768" s="226">
        <f t="shared" si="519"/>
        <v>1.4573128937476684E-3</v>
      </c>
      <c r="AS768" s="228">
        <f>AR768*'DADOS BASE'!W$38</f>
        <v>437157.09676459199</v>
      </c>
      <c r="AT768" s="225"/>
      <c r="AU768" s="227">
        <v>13.709589041096001</v>
      </c>
      <c r="AV768" s="227">
        <v>10</v>
      </c>
      <c r="AW768" s="226">
        <f t="shared" si="520"/>
        <v>3.4273972602740002</v>
      </c>
      <c r="AX768" s="226">
        <f>IF($AW$11&gt;0,(AW768/$AW$11)*'DADOS BASE'!W$40,0)</f>
        <v>615.82231290609241</v>
      </c>
      <c r="AY768" s="226">
        <f t="shared" si="521"/>
        <v>7.1481722751639944</v>
      </c>
      <c r="AZ768" s="226">
        <f t="shared" si="522"/>
        <v>3.7385166508067865E-4</v>
      </c>
      <c r="BA768" s="226">
        <f>AZ768*'DADOS BASE'!W$41</f>
        <v>2761.9614332984761</v>
      </c>
      <c r="BB768" s="225"/>
      <c r="BC768" s="227">
        <v>0</v>
      </c>
      <c r="BD768" s="226">
        <f>IF($BC$11&gt;0,(BC768/$BC$11)*'DADOS BASE'!W$39,0)</f>
        <v>0</v>
      </c>
      <c r="BE768" s="187"/>
    </row>
    <row r="769" spans="2:57" x14ac:dyDescent="0.3">
      <c r="B769" s="184" t="s">
        <v>843</v>
      </c>
      <c r="C769" s="184" t="s">
        <v>852</v>
      </c>
      <c r="D769" s="184" t="s">
        <v>94</v>
      </c>
      <c r="E769" s="184">
        <v>2010</v>
      </c>
      <c r="F769" s="185"/>
      <c r="H769" s="186">
        <f ca="1">IF(AND(E769&gt;=2018,SUMIF('DADOS BASE'!$C$101:$D$104,D769,'DADOS BASE'!$H$101:$H$104)&gt;J769),
SUMIF('DADOS BASE'!$C$101:$D$104,D769,'DADOS BASE'!$H$101:$H$104),
J769)</f>
        <v>1806479.0526726977</v>
      </c>
      <c r="J769" s="186">
        <f t="shared" si="511"/>
        <v>1806479.0526726977</v>
      </c>
      <c r="K769" s="186"/>
      <c r="L769" s="188">
        <v>1792.7032119918999</v>
      </c>
      <c r="M769" s="186">
        <f t="shared" si="512"/>
        <v>1.3985839653260341E-3</v>
      </c>
      <c r="N769" s="186">
        <f>L769*'DADOS BASE'!$I$29</f>
        <v>1765339.624559744</v>
      </c>
      <c r="O769" s="187"/>
      <c r="P769" s="188">
        <v>0</v>
      </c>
      <c r="Q769" s="186">
        <f>P769*'DADOS BASE'!$I$33</f>
        <v>0</v>
      </c>
      <c r="R769" s="186"/>
      <c r="S769" s="188">
        <v>52.221385542169003</v>
      </c>
      <c r="T769" s="186">
        <f>S769*'DADOS BASE'!$I$37</f>
        <v>41139.428112953618</v>
      </c>
      <c r="U769" s="186"/>
      <c r="V769" s="186">
        <f t="shared" si="513"/>
        <v>41139.428112953618</v>
      </c>
      <c r="W769" s="187"/>
      <c r="X769" s="186"/>
      <c r="Y769" s="186"/>
      <c r="Z769" s="185"/>
      <c r="AA769" s="186"/>
      <c r="AB769" s="186"/>
      <c r="AC769" s="186"/>
      <c r="AD769" s="186"/>
      <c r="AE769" s="188">
        <v>903</v>
      </c>
      <c r="AF769" s="188">
        <v>755.69939737615005</v>
      </c>
      <c r="AG769" s="186" t="s">
        <v>155</v>
      </c>
      <c r="AH769" s="189">
        <v>0.75900000000000001</v>
      </c>
      <c r="AI769" s="183">
        <f t="shared" si="514"/>
        <v>573.57584260849785</v>
      </c>
      <c r="AJ769" s="186">
        <f t="shared" si="515"/>
        <v>4.9464732894378409E-2</v>
      </c>
      <c r="AK769" s="186"/>
      <c r="AL769" s="186">
        <f t="shared" si="516"/>
        <v>170.78873040850775</v>
      </c>
      <c r="AM769" s="187">
        <f t="shared" si="517"/>
        <v>129064.94064834705</v>
      </c>
      <c r="AN769" s="186"/>
      <c r="AO769" s="188">
        <v>2.0208105147864002</v>
      </c>
      <c r="AQ769" s="186">
        <f t="shared" si="518"/>
        <v>1527.1252882354702</v>
      </c>
      <c r="AR769" s="186">
        <f t="shared" si="519"/>
        <v>1.624845487749072E-3</v>
      </c>
      <c r="AS769" s="187">
        <f>AR769*'DADOS BASE'!W$38</f>
        <v>487412.64773192996</v>
      </c>
      <c r="AU769" s="188">
        <v>20.888554216867</v>
      </c>
      <c r="AV769" s="188">
        <v>4.75</v>
      </c>
      <c r="AW769" s="186">
        <f t="shared" si="520"/>
        <v>5.22213855421675</v>
      </c>
      <c r="AX769" s="186">
        <f>IF($AW$11&gt;0,(AW769/$AW$11)*'DADOS BASE'!W$40,0)</f>
        <v>938.29492135287035</v>
      </c>
      <c r="AY769" s="186">
        <f t="shared" si="521"/>
        <v>10.552952500032658</v>
      </c>
      <c r="AZ769" s="186">
        <f t="shared" si="522"/>
        <v>5.5192274497385522E-4</v>
      </c>
      <c r="BA769" s="186">
        <f>AZ769*'DADOS BASE'!W$41</f>
        <v>4077.5245322206852</v>
      </c>
      <c r="BC769" s="188">
        <v>0</v>
      </c>
      <c r="BD769" s="186">
        <f>IF($BC$11&gt;0,(BC769/$BC$11)*'DADOS BASE'!W$39,0)</f>
        <v>0</v>
      </c>
      <c r="BE769" s="187"/>
    </row>
    <row r="770" spans="2:57" x14ac:dyDescent="0.3">
      <c r="B770" s="223" t="s">
        <v>843</v>
      </c>
      <c r="C770" s="223" t="s">
        <v>600</v>
      </c>
      <c r="D770" s="223" t="s">
        <v>94</v>
      </c>
      <c r="E770" s="223">
        <v>2002</v>
      </c>
      <c r="F770" s="224"/>
      <c r="G770" s="225"/>
      <c r="H770" s="226">
        <f ca="1">IF(AND(E770&gt;=2018,SUMIF('DADOS BASE'!$C$101:$D$104,D770,'DADOS BASE'!$H$101:$H$104)&gt;J770),
SUMIF('DADOS BASE'!$C$101:$D$104,D770,'DADOS BASE'!$H$101:$H$104),
J770)</f>
        <v>7424018.6967978794</v>
      </c>
      <c r="I770" s="225"/>
      <c r="J770" s="226">
        <f t="shared" si="511"/>
        <v>7424018.6967978794</v>
      </c>
      <c r="K770" s="226"/>
      <c r="L770" s="227">
        <v>7312.8224771258001</v>
      </c>
      <c r="M770" s="226">
        <f t="shared" si="512"/>
        <v>5.7051251927082306E-3</v>
      </c>
      <c r="N770" s="226">
        <f>L770*'DADOS BASE'!$I$29</f>
        <v>7201200.5109854443</v>
      </c>
      <c r="O770" s="228"/>
      <c r="P770" s="227">
        <v>824.74039938676003</v>
      </c>
      <c r="Q770" s="226">
        <f>P770*'DADOS BASE'!$I$33</f>
        <v>203037.91744130244</v>
      </c>
      <c r="R770" s="226"/>
      <c r="S770" s="227">
        <v>25.108589694062001</v>
      </c>
      <c r="T770" s="226">
        <f>S770*'DADOS BASE'!$I$37</f>
        <v>19780.268371133079</v>
      </c>
      <c r="U770" s="226"/>
      <c r="V770" s="226">
        <f t="shared" si="513"/>
        <v>222818.18581243552</v>
      </c>
      <c r="W770" s="228"/>
      <c r="X770" s="226"/>
      <c r="Y770" s="226"/>
      <c r="Z770" s="224"/>
      <c r="AA770" s="226"/>
      <c r="AB770" s="226"/>
      <c r="AC770" s="226"/>
      <c r="AD770" s="226"/>
      <c r="AE770" s="227">
        <v>4461</v>
      </c>
      <c r="AF770" s="227">
        <v>3308.6038395897999</v>
      </c>
      <c r="AG770" s="226" t="s">
        <v>155</v>
      </c>
      <c r="AH770" s="229">
        <v>0.78800000000000003</v>
      </c>
      <c r="AI770" s="225">
        <f t="shared" si="514"/>
        <v>2607.1798255967624</v>
      </c>
      <c r="AJ770" s="226">
        <f t="shared" si="515"/>
        <v>8.8579760723692641E-2</v>
      </c>
      <c r="AK770" s="226"/>
      <c r="AL770" s="226">
        <f t="shared" si="516"/>
        <v>163.76068402869919</v>
      </c>
      <c r="AM770" s="228">
        <f t="shared" si="517"/>
        <v>541819.22795120615</v>
      </c>
      <c r="AN770" s="226"/>
      <c r="AO770" s="227">
        <v>1.8470466321243999</v>
      </c>
      <c r="AP770" s="225"/>
      <c r="AQ770" s="226">
        <f t="shared" si="518"/>
        <v>6111.1455789481979</v>
      </c>
      <c r="AR770" s="226">
        <f t="shared" si="519"/>
        <v>6.5021955928743656E-3</v>
      </c>
      <c r="AS770" s="228">
        <f>AR770*'DADOS BASE'!W$38</f>
        <v>1950494.6124964801</v>
      </c>
      <c r="AT770" s="225"/>
      <c r="AU770" s="227">
        <v>7.0274846224105998</v>
      </c>
      <c r="AV770" s="227">
        <v>100.5</v>
      </c>
      <c r="AW770" s="226">
        <f t="shared" si="520"/>
        <v>1.7568711556026499</v>
      </c>
      <c r="AX770" s="226">
        <f>IF($AW$11&gt;0,(AW770/$AW$11)*'DADOS BASE'!W$40,0)</f>
        <v>315.66823929675724</v>
      </c>
      <c r="AY770" s="226">
        <f t="shared" si="521"/>
        <v>3.2450229510323769</v>
      </c>
      <c r="AZ770" s="226">
        <f t="shared" si="522"/>
        <v>1.6971572407166688E-4</v>
      </c>
      <c r="BA770" s="226">
        <f>AZ770*'DADOS BASE'!W$41</f>
        <v>1253.8349519163223</v>
      </c>
      <c r="BB770" s="225"/>
      <c r="BC770" s="227">
        <v>0</v>
      </c>
      <c r="BD770" s="226">
        <f>IF($BC$11&gt;0,(BC770/$BC$11)*'DADOS BASE'!W$39,0)</f>
        <v>0</v>
      </c>
      <c r="BE770" s="187"/>
    </row>
    <row r="771" spans="2:57" x14ac:dyDescent="0.3">
      <c r="B771" s="184" t="s">
        <v>843</v>
      </c>
      <c r="C771" s="184" t="s">
        <v>853</v>
      </c>
      <c r="D771" s="184" t="s">
        <v>92</v>
      </c>
      <c r="E771" s="184">
        <v>2006</v>
      </c>
      <c r="F771" s="185"/>
      <c r="H771" s="186">
        <f ca="1">IF(AND(E771&gt;=2018,SUMIF('DADOS BASE'!$C$101:$D$104,D771,'DADOS BASE'!$H$101:$H$104)&gt;J771),
SUMIF('DADOS BASE'!$C$101:$D$104,D771,'DADOS BASE'!$H$101:$H$104),
J771)</f>
        <v>1957077.2813456971</v>
      </c>
      <c r="J771" s="186">
        <f t="shared" si="511"/>
        <v>1957077.2813456971</v>
      </c>
      <c r="K771" s="186"/>
      <c r="L771" s="188">
        <v>1987.4128918732999</v>
      </c>
      <c r="M771" s="186">
        <f t="shared" si="512"/>
        <v>1.5504874339840248E-3</v>
      </c>
      <c r="N771" s="186">
        <f>L771*'DADOS BASE'!$I$29</f>
        <v>1957077.2813456971</v>
      </c>
      <c r="O771" s="187"/>
      <c r="P771" s="188">
        <v>0</v>
      </c>
      <c r="Q771" s="186">
        <f>P771*'DADOS BASE'!$I$33</f>
        <v>0</v>
      </c>
      <c r="R771" s="186"/>
      <c r="S771" s="188">
        <v>0</v>
      </c>
      <c r="T771" s="186">
        <f>S771*'DADOS BASE'!$I$37</f>
        <v>0</v>
      </c>
      <c r="U771" s="186"/>
      <c r="V771" s="186">
        <f t="shared" si="513"/>
        <v>0</v>
      </c>
      <c r="W771" s="187"/>
      <c r="X771" s="186"/>
      <c r="Y771" s="186"/>
      <c r="Z771" s="185"/>
      <c r="AA771" s="186"/>
      <c r="AB771" s="186"/>
      <c r="AC771" s="186"/>
      <c r="AD771" s="186"/>
      <c r="AE771" s="188">
        <v>1137</v>
      </c>
      <c r="AF771" s="188">
        <v>1000.0608590819</v>
      </c>
      <c r="AG771" s="186" t="s">
        <v>155</v>
      </c>
      <c r="AH771" s="189">
        <v>0.76400000000000001</v>
      </c>
      <c r="AI771" s="183">
        <f t="shared" si="514"/>
        <v>764.04649633857161</v>
      </c>
      <c r="AJ771" s="186">
        <f t="shared" si="515"/>
        <v>5.6208703209777416E-2</v>
      </c>
      <c r="AK771" s="186"/>
      <c r="AL771" s="186">
        <f t="shared" si="516"/>
        <v>169.57699827405798</v>
      </c>
      <c r="AM771" s="187">
        <f t="shared" si="517"/>
        <v>169587.31857448432</v>
      </c>
      <c r="AN771" s="186"/>
      <c r="AO771" s="188">
        <v>1.9481842338352999</v>
      </c>
      <c r="AQ771" s="186">
        <f t="shared" si="518"/>
        <v>1948.3027985391434</v>
      </c>
      <c r="AR771" s="186">
        <f t="shared" si="519"/>
        <v>2.0729739958880787E-3</v>
      </c>
      <c r="AS771" s="187">
        <f>AR771*'DADOS BASE'!W$38</f>
        <v>621839.89285957522</v>
      </c>
      <c r="AU771" s="188">
        <v>0</v>
      </c>
      <c r="AV771" s="188">
        <v>0</v>
      </c>
      <c r="AW771" s="186">
        <f t="shared" si="520"/>
        <v>0</v>
      </c>
      <c r="AX771" s="186">
        <f>IF($AW$11&gt;0,(AW771/$AW$11)*'DADOS BASE'!W$40,0)</f>
        <v>0</v>
      </c>
      <c r="AY771" s="186">
        <f t="shared" si="521"/>
        <v>0</v>
      </c>
      <c r="AZ771" s="186">
        <f t="shared" si="522"/>
        <v>0</v>
      </c>
      <c r="BA771" s="186">
        <f>AZ771*'DADOS BASE'!W$41</f>
        <v>0</v>
      </c>
      <c r="BC771" s="188">
        <v>0</v>
      </c>
      <c r="BD771" s="186">
        <f>IF($BC$11&gt;0,(BC771/$BC$11)*'DADOS BASE'!W$39,0)</f>
        <v>0</v>
      </c>
      <c r="BE771" s="187"/>
    </row>
    <row r="772" spans="2:57" x14ac:dyDescent="0.3">
      <c r="B772" s="223" t="s">
        <v>843</v>
      </c>
      <c r="C772" s="223" t="s">
        <v>854</v>
      </c>
      <c r="D772" s="223" t="s">
        <v>94</v>
      </c>
      <c r="E772" s="223">
        <v>2010</v>
      </c>
      <c r="F772" s="224"/>
      <c r="G772" s="225"/>
      <c r="H772" s="226">
        <f ca="1">IF(AND(E772&gt;=2018,SUMIF('DADOS BASE'!$C$101:$D$104,D772,'DADOS BASE'!$H$101:$H$104)&gt;J772),
SUMIF('DADOS BASE'!$C$101:$D$104,D772,'DADOS BASE'!$H$101:$H$104),
J772)</f>
        <v>1478355.6268022896</v>
      </c>
      <c r="I772" s="225"/>
      <c r="J772" s="226">
        <f t="shared" si="511"/>
        <v>1478355.6268022896</v>
      </c>
      <c r="K772" s="226"/>
      <c r="L772" s="227">
        <v>1501.2708284365999</v>
      </c>
      <c r="M772" s="226">
        <f t="shared" si="512"/>
        <v>1.1712219257588117E-3</v>
      </c>
      <c r="N772" s="226">
        <f>L772*'DADOS BASE'!$I$29</f>
        <v>1478355.6268022896</v>
      </c>
      <c r="O772" s="228"/>
      <c r="P772" s="227">
        <v>0</v>
      </c>
      <c r="Q772" s="226">
        <f>P772*'DADOS BASE'!$I$33</f>
        <v>0</v>
      </c>
      <c r="R772" s="226"/>
      <c r="S772" s="227">
        <v>0</v>
      </c>
      <c r="T772" s="226">
        <f>S772*'DADOS BASE'!$I$37</f>
        <v>0</v>
      </c>
      <c r="U772" s="226"/>
      <c r="V772" s="226">
        <f t="shared" si="513"/>
        <v>0</v>
      </c>
      <c r="W772" s="228"/>
      <c r="X772" s="226"/>
      <c r="Y772" s="226"/>
      <c r="Z772" s="224"/>
      <c r="AA772" s="226"/>
      <c r="AB772" s="226"/>
      <c r="AC772" s="226"/>
      <c r="AD772" s="226"/>
      <c r="AE772" s="227">
        <v>1133</v>
      </c>
      <c r="AF772" s="227">
        <v>915.44736731025</v>
      </c>
      <c r="AG772" s="226" t="s">
        <v>155</v>
      </c>
      <c r="AH772" s="229">
        <v>0.74</v>
      </c>
      <c r="AI772" s="225">
        <f t="shared" si="514"/>
        <v>677.43105180958503</v>
      </c>
      <c r="AJ772" s="226">
        <f t="shared" si="515"/>
        <v>2.3837645695862181E-2</v>
      </c>
      <c r="AK772" s="226"/>
      <c r="AL772" s="226">
        <f t="shared" si="516"/>
        <v>175.39331251941678</v>
      </c>
      <c r="AM772" s="228">
        <f t="shared" si="517"/>
        <v>160563.34618972399</v>
      </c>
      <c r="AN772" s="226"/>
      <c r="AO772" s="227">
        <v>1.8204775022957</v>
      </c>
      <c r="AP772" s="225"/>
      <c r="AQ772" s="226">
        <f t="shared" si="518"/>
        <v>1666.5513367241383</v>
      </c>
      <c r="AR772" s="226">
        <f t="shared" si="519"/>
        <v>1.7731933590774682E-3</v>
      </c>
      <c r="AS772" s="228">
        <f>AR772*'DADOS BASE'!W$38</f>
        <v>531913.26597209065</v>
      </c>
      <c r="AT772" s="225"/>
      <c r="AU772" s="227">
        <v>0</v>
      </c>
      <c r="AV772" s="227">
        <v>0</v>
      </c>
      <c r="AW772" s="226">
        <f t="shared" si="520"/>
        <v>0</v>
      </c>
      <c r="AX772" s="226">
        <f>IF($AW$11&gt;0,(AW772/$AW$11)*'DADOS BASE'!W$40,0)</f>
        <v>0</v>
      </c>
      <c r="AY772" s="226">
        <f t="shared" si="521"/>
        <v>0</v>
      </c>
      <c r="AZ772" s="226">
        <f t="shared" si="522"/>
        <v>0</v>
      </c>
      <c r="BA772" s="226">
        <f>AZ772*'DADOS BASE'!W$41</f>
        <v>0</v>
      </c>
      <c r="BB772" s="225"/>
      <c r="BC772" s="227">
        <v>0</v>
      </c>
      <c r="BD772" s="226">
        <f>IF($BC$11&gt;0,(BC772/$BC$11)*'DADOS BASE'!W$39,0)</f>
        <v>0</v>
      </c>
      <c r="BE772" s="187"/>
    </row>
    <row r="773" spans="2:57" x14ac:dyDescent="0.3">
      <c r="B773" s="184" t="s">
        <v>843</v>
      </c>
      <c r="C773" s="184" t="s">
        <v>425</v>
      </c>
      <c r="D773" s="184" t="s">
        <v>209</v>
      </c>
      <c r="E773" s="184">
        <v>2020</v>
      </c>
      <c r="F773" s="185"/>
      <c r="H773" s="186">
        <f ca="1">IF(AND(E773&gt;=2018,SUMIF('DADOS BASE'!$C$101:$D$104,D773,'DADOS BASE'!$H$101:$H$104)&gt;J773),
SUMIF('DADOS BASE'!$C$101:$D$104,D773,'DADOS BASE'!$H$101:$H$104),
J773)</f>
        <v>2220525.9084908864</v>
      </c>
      <c r="J773" s="186">
        <f t="shared" si="511"/>
        <v>2220525.9084908864</v>
      </c>
      <c r="K773" s="186"/>
      <c r="L773" s="188">
        <v>0</v>
      </c>
      <c r="M773" s="186">
        <f t="shared" si="512"/>
        <v>0</v>
      </c>
      <c r="N773" s="186">
        <f>L773*'DADOS BASE'!$I$29</f>
        <v>0</v>
      </c>
      <c r="O773" s="187"/>
      <c r="P773" s="188">
        <v>0</v>
      </c>
      <c r="Q773" s="186">
        <f>P773*'DADOS BASE'!$I$33</f>
        <v>0</v>
      </c>
      <c r="R773" s="186"/>
      <c r="S773" s="188">
        <v>2818.6813694953998</v>
      </c>
      <c r="T773" s="186">
        <f>S773*'DADOS BASE'!$I$37</f>
        <v>2220525.9084908864</v>
      </c>
      <c r="U773" s="186"/>
      <c r="V773" s="186">
        <f t="shared" si="513"/>
        <v>2220525.9084908864</v>
      </c>
      <c r="W773" s="187"/>
      <c r="X773" s="186"/>
      <c r="Y773" s="186"/>
      <c r="Z773" s="185"/>
      <c r="AA773" s="186"/>
      <c r="AB773" s="186"/>
      <c r="AC773" s="186"/>
      <c r="AD773" s="186"/>
      <c r="AE773" s="188">
        <v>0</v>
      </c>
      <c r="AF773" s="188">
        <v>0</v>
      </c>
      <c r="AG773" s="186" t="s">
        <v>155</v>
      </c>
      <c r="AH773" s="189">
        <v>0.66</v>
      </c>
      <c r="AI773" s="183">
        <f t="shared" si="514"/>
        <v>0</v>
      </c>
      <c r="AJ773" s="186">
        <f t="shared" si="515"/>
        <v>-8.4065879350521774E-2</v>
      </c>
      <c r="AK773" s="186"/>
      <c r="AL773" s="186">
        <f t="shared" si="516"/>
        <v>194.78102667061279</v>
      </c>
      <c r="AM773" s="187">
        <f t="shared" si="517"/>
        <v>0</v>
      </c>
      <c r="AN773" s="186"/>
      <c r="AO773" s="188">
        <v>1.5137614678899001</v>
      </c>
      <c r="AQ773" s="186">
        <f t="shared" si="518"/>
        <v>0</v>
      </c>
      <c r="AR773" s="186">
        <f t="shared" si="519"/>
        <v>0</v>
      </c>
      <c r="AS773" s="187">
        <f>AR773*'DADOS BASE'!W$38</f>
        <v>0</v>
      </c>
      <c r="AU773" s="188">
        <v>2179.6997230235002</v>
      </c>
      <c r="AV773" s="188">
        <v>1291.5</v>
      </c>
      <c r="AW773" s="186">
        <f t="shared" si="520"/>
        <v>544.92493075587504</v>
      </c>
      <c r="AX773" s="186">
        <f>IF($AW$11&gt;0,(AW773/$AW$11)*'DADOS BASE'!W$40,0)</f>
        <v>97910.135807089886</v>
      </c>
      <c r="AY773" s="186">
        <f t="shared" si="521"/>
        <v>824.88636307081561</v>
      </c>
      <c r="AZ773" s="186">
        <f t="shared" si="522"/>
        <v>4.3141817021931615E-2</v>
      </c>
      <c r="BA773" s="186">
        <f>AZ773*'DADOS BASE'!W$41</f>
        <v>318725.43553144403</v>
      </c>
      <c r="BC773" s="188">
        <v>0</v>
      </c>
      <c r="BD773" s="186">
        <f>IF($BC$11&gt;0,(BC773/$BC$11)*'DADOS BASE'!W$39,0)</f>
        <v>0</v>
      </c>
      <c r="BE773" s="187"/>
    </row>
    <row r="774" spans="2:57" x14ac:dyDescent="0.3">
      <c r="F774" s="185"/>
      <c r="H774" s="186"/>
      <c r="J774" s="186"/>
      <c r="K774" s="186"/>
      <c r="L774" s="186"/>
      <c r="M774" s="186"/>
      <c r="N774" s="186"/>
      <c r="O774" s="187"/>
      <c r="P774" s="186"/>
      <c r="Q774" s="186"/>
      <c r="R774" s="186"/>
      <c r="S774" s="186"/>
      <c r="T774" s="186"/>
      <c r="U774" s="186"/>
      <c r="V774" s="186"/>
      <c r="W774" s="187"/>
      <c r="X774" s="186"/>
      <c r="Y774" s="186"/>
      <c r="Z774" s="185"/>
      <c r="AA774" s="186"/>
      <c r="AB774" s="186"/>
      <c r="AC774" s="186"/>
      <c r="AD774" s="186"/>
      <c r="AE774" s="186"/>
      <c r="AF774" s="186"/>
      <c r="AG774" s="186"/>
      <c r="AH774" s="185"/>
      <c r="AJ774" s="186"/>
      <c r="AK774" s="186"/>
      <c r="AL774" s="186"/>
      <c r="AM774" s="187"/>
      <c r="AN774" s="186"/>
      <c r="AO774" s="186"/>
      <c r="AQ774" s="186"/>
      <c r="AR774" s="186"/>
      <c r="AS774" s="187"/>
      <c r="AU774" s="186"/>
      <c r="AV774" s="186"/>
      <c r="AW774" s="186"/>
      <c r="AX774" s="186"/>
      <c r="AY774" s="186"/>
      <c r="AZ774" s="186"/>
      <c r="BA774" s="186"/>
      <c r="BC774" s="186"/>
      <c r="BD774" s="186"/>
      <c r="BE774" s="187"/>
    </row>
    <row r="775" spans="2:57" x14ac:dyDescent="0.3">
      <c r="F775" s="185"/>
      <c r="H775" s="186"/>
      <c r="J775" s="186"/>
      <c r="K775" s="186"/>
      <c r="L775" s="186"/>
      <c r="M775" s="186"/>
      <c r="N775" s="186"/>
      <c r="O775" s="187"/>
      <c r="P775" s="186"/>
      <c r="Q775" s="186"/>
      <c r="R775" s="186"/>
      <c r="S775" s="186"/>
      <c r="T775" s="186"/>
      <c r="U775" s="186"/>
      <c r="V775" s="186"/>
      <c r="W775" s="187"/>
      <c r="X775" s="186"/>
      <c r="Y775" s="186"/>
      <c r="Z775" s="185"/>
      <c r="AA775" s="186"/>
      <c r="AB775" s="186"/>
      <c r="AC775" s="186"/>
      <c r="AD775" s="186"/>
      <c r="AE775" s="186"/>
      <c r="AF775" s="186"/>
      <c r="AG775" s="186"/>
      <c r="AH775" s="185"/>
      <c r="AJ775" s="186"/>
      <c r="AK775" s="186"/>
      <c r="AL775" s="186"/>
      <c r="AM775" s="187"/>
      <c r="AN775" s="186"/>
      <c r="AO775" s="186"/>
      <c r="AQ775" s="186"/>
      <c r="AR775" s="186"/>
      <c r="AS775" s="187"/>
      <c r="AU775" s="186"/>
      <c r="AV775" s="186"/>
      <c r="AW775" s="186"/>
      <c r="AX775" s="186"/>
      <c r="AY775" s="186"/>
      <c r="AZ775" s="186"/>
      <c r="BA775" s="186"/>
      <c r="BC775" s="186"/>
      <c r="BD775" s="186"/>
      <c r="BE775" s="187"/>
    </row>
    <row r="776" spans="2:57" x14ac:dyDescent="0.3">
      <c r="F776" s="185"/>
      <c r="H776" s="186"/>
      <c r="J776" s="186"/>
      <c r="K776" s="186"/>
      <c r="L776" s="186"/>
      <c r="M776" s="186"/>
      <c r="N776" s="186"/>
      <c r="O776" s="187"/>
      <c r="P776" s="186"/>
      <c r="Q776" s="186"/>
      <c r="R776" s="186"/>
      <c r="S776" s="186"/>
      <c r="T776" s="186"/>
      <c r="U776" s="186"/>
      <c r="V776" s="186"/>
      <c r="W776" s="187"/>
      <c r="X776" s="186"/>
      <c r="Y776" s="186"/>
      <c r="Z776" s="185"/>
      <c r="AA776" s="186"/>
      <c r="AB776" s="186"/>
      <c r="AC776" s="186"/>
      <c r="AD776" s="186"/>
      <c r="AE776" s="186"/>
      <c r="AF776" s="186"/>
      <c r="AG776" s="186"/>
      <c r="AH776" s="185"/>
      <c r="AJ776" s="186"/>
      <c r="AK776" s="186"/>
      <c r="AL776" s="186"/>
      <c r="AM776" s="187"/>
      <c r="AN776" s="186"/>
      <c r="AO776" s="186"/>
      <c r="AQ776" s="186"/>
      <c r="AR776" s="186"/>
      <c r="AS776" s="187"/>
      <c r="AU776" s="186"/>
      <c r="AV776" s="186"/>
      <c r="AW776" s="186"/>
      <c r="AX776" s="186"/>
      <c r="AY776" s="186"/>
      <c r="AZ776" s="186"/>
      <c r="BA776" s="186"/>
      <c r="BC776" s="186"/>
      <c r="BD776" s="186"/>
      <c r="BE776" s="187"/>
    </row>
    <row r="777" spans="2:57" x14ac:dyDescent="0.3">
      <c r="F777" s="185"/>
      <c r="H777" s="186"/>
      <c r="J777" s="186"/>
      <c r="K777" s="186"/>
      <c r="L777" s="186"/>
      <c r="M777" s="186"/>
      <c r="N777" s="186"/>
      <c r="O777" s="187"/>
      <c r="P777" s="186"/>
      <c r="Q777" s="186"/>
      <c r="R777" s="186"/>
      <c r="S777" s="186"/>
      <c r="T777" s="186"/>
      <c r="U777" s="186"/>
      <c r="V777" s="186"/>
      <c r="W777" s="187"/>
      <c r="X777" s="186"/>
      <c r="Y777" s="186"/>
      <c r="Z777" s="185"/>
      <c r="AA777" s="186"/>
      <c r="AB777" s="186"/>
      <c r="AC777" s="186"/>
      <c r="AD777" s="186"/>
      <c r="AE777" s="186"/>
      <c r="AF777" s="186"/>
      <c r="AG777" s="186"/>
      <c r="AH777" s="185"/>
      <c r="AJ777" s="186"/>
      <c r="AK777" s="186"/>
      <c r="AL777" s="186"/>
      <c r="AM777" s="187"/>
      <c r="AN777" s="186"/>
      <c r="AO777" s="186"/>
      <c r="AQ777" s="186"/>
      <c r="AR777" s="186"/>
      <c r="AS777" s="187"/>
      <c r="AU777" s="186"/>
      <c r="AV777" s="186"/>
      <c r="AW777" s="186"/>
      <c r="AX777" s="186"/>
      <c r="AY777" s="186"/>
      <c r="AZ777" s="186"/>
      <c r="BA777" s="186"/>
      <c r="BC777" s="186"/>
      <c r="BD777" s="186"/>
      <c r="BE777" s="187"/>
    </row>
    <row r="778" spans="2:57" x14ac:dyDescent="0.3">
      <c r="F778" s="185"/>
      <c r="H778" s="186"/>
      <c r="J778" s="186"/>
      <c r="K778" s="186"/>
      <c r="L778" s="186"/>
      <c r="M778" s="186"/>
      <c r="N778" s="186"/>
      <c r="O778" s="187"/>
      <c r="P778" s="186"/>
      <c r="Q778" s="186"/>
      <c r="R778" s="186"/>
      <c r="S778" s="186"/>
      <c r="T778" s="186"/>
      <c r="U778" s="186"/>
      <c r="V778" s="186"/>
      <c r="W778" s="187"/>
      <c r="X778" s="186"/>
      <c r="Y778" s="186"/>
      <c r="Z778" s="185"/>
      <c r="AA778" s="186"/>
      <c r="AB778" s="186"/>
      <c r="AC778" s="186"/>
      <c r="AD778" s="186"/>
      <c r="AE778" s="186"/>
      <c r="AF778" s="186"/>
      <c r="AG778" s="186"/>
      <c r="AH778" s="185"/>
      <c r="AJ778" s="186"/>
      <c r="AK778" s="186"/>
      <c r="AL778" s="186"/>
      <c r="AM778" s="187"/>
      <c r="AN778" s="186"/>
      <c r="AO778" s="186"/>
      <c r="AQ778" s="186"/>
      <c r="AR778" s="186"/>
      <c r="AS778" s="187"/>
      <c r="AU778" s="186"/>
      <c r="AV778" s="186"/>
      <c r="AW778" s="186"/>
      <c r="AX778" s="186"/>
      <c r="AY778" s="186"/>
      <c r="AZ778" s="186"/>
      <c r="BA778" s="186"/>
      <c r="BC778" s="186"/>
      <c r="BD778" s="186"/>
      <c r="BE778" s="187"/>
    </row>
    <row r="779" spans="2:57" x14ac:dyDescent="0.3">
      <c r="F779" s="185"/>
      <c r="H779" s="186"/>
      <c r="J779" s="186"/>
      <c r="K779" s="186"/>
      <c r="L779" s="186"/>
      <c r="M779" s="186"/>
      <c r="N779" s="186"/>
      <c r="O779" s="187"/>
      <c r="P779" s="186"/>
      <c r="Q779" s="186"/>
      <c r="R779" s="186"/>
      <c r="S779" s="186"/>
      <c r="T779" s="186"/>
      <c r="U779" s="186"/>
      <c r="V779" s="186"/>
      <c r="W779" s="187"/>
      <c r="X779" s="186"/>
      <c r="Y779" s="186"/>
      <c r="Z779" s="185"/>
      <c r="AA779" s="186"/>
      <c r="AB779" s="186"/>
      <c r="AC779" s="186"/>
      <c r="AD779" s="186"/>
      <c r="AE779" s="186"/>
      <c r="AF779" s="186"/>
      <c r="AG779" s="186"/>
      <c r="AH779" s="185"/>
      <c r="AJ779" s="186"/>
      <c r="AK779" s="186"/>
      <c r="AL779" s="186"/>
      <c r="AM779" s="187"/>
      <c r="AN779" s="186"/>
      <c r="AO779" s="186"/>
      <c r="AQ779" s="186"/>
      <c r="AR779" s="186"/>
      <c r="AS779" s="187"/>
      <c r="AU779" s="186"/>
      <c r="AV779" s="186"/>
      <c r="AW779" s="186"/>
      <c r="AX779" s="186"/>
      <c r="AY779" s="186"/>
      <c r="AZ779" s="186"/>
      <c r="BA779" s="186"/>
      <c r="BC779" s="186"/>
      <c r="BD779" s="186"/>
      <c r="BE779" s="187"/>
    </row>
    <row r="780" spans="2:57" x14ac:dyDescent="0.3">
      <c r="F780" s="185"/>
      <c r="H780" s="186"/>
      <c r="J780" s="186"/>
      <c r="K780" s="186"/>
      <c r="L780" s="186"/>
      <c r="M780" s="186"/>
      <c r="N780" s="186"/>
      <c r="O780" s="187"/>
      <c r="P780" s="186"/>
      <c r="Q780" s="186"/>
      <c r="R780" s="186"/>
      <c r="S780" s="186"/>
      <c r="T780" s="186"/>
      <c r="U780" s="186"/>
      <c r="V780" s="186"/>
      <c r="W780" s="187"/>
      <c r="X780" s="186"/>
      <c r="Y780" s="186"/>
      <c r="Z780" s="185"/>
      <c r="AA780" s="186"/>
      <c r="AB780" s="186"/>
      <c r="AC780" s="186"/>
      <c r="AD780" s="186"/>
      <c r="AE780" s="186"/>
      <c r="AF780" s="186"/>
      <c r="AG780" s="186"/>
      <c r="AH780" s="185"/>
      <c r="AJ780" s="186"/>
      <c r="AK780" s="186"/>
      <c r="AL780" s="186"/>
      <c r="AM780" s="187"/>
      <c r="AN780" s="186"/>
      <c r="AO780" s="186"/>
      <c r="AQ780" s="186"/>
      <c r="AR780" s="186"/>
      <c r="AS780" s="187"/>
      <c r="AU780" s="186"/>
      <c r="AV780" s="186"/>
      <c r="AW780" s="186"/>
      <c r="AX780" s="186"/>
      <c r="AY780" s="186"/>
      <c r="AZ780" s="186"/>
      <c r="BA780" s="186"/>
      <c r="BC780" s="186"/>
      <c r="BD780" s="186"/>
      <c r="BE780" s="187"/>
    </row>
    <row r="781" spans="2:57" x14ac:dyDescent="0.3">
      <c r="F781" s="185"/>
      <c r="H781" s="186"/>
      <c r="J781" s="186"/>
      <c r="K781" s="186"/>
      <c r="L781" s="186"/>
      <c r="M781" s="186"/>
      <c r="N781" s="186"/>
      <c r="O781" s="187"/>
      <c r="P781" s="186"/>
      <c r="Q781" s="186"/>
      <c r="R781" s="186"/>
      <c r="S781" s="186"/>
      <c r="T781" s="186"/>
      <c r="U781" s="186"/>
      <c r="V781" s="186"/>
      <c r="W781" s="187"/>
      <c r="X781" s="186"/>
      <c r="Y781" s="186"/>
      <c r="Z781" s="185"/>
      <c r="AA781" s="186"/>
      <c r="AB781" s="186"/>
      <c r="AC781" s="186"/>
      <c r="AD781" s="186"/>
      <c r="AE781" s="186"/>
      <c r="AF781" s="186"/>
      <c r="AG781" s="186"/>
      <c r="AH781" s="185"/>
      <c r="AJ781" s="186"/>
      <c r="AK781" s="186"/>
      <c r="AL781" s="186"/>
      <c r="AM781" s="187"/>
      <c r="AN781" s="186"/>
      <c r="AO781" s="186"/>
      <c r="AQ781" s="186"/>
      <c r="AR781" s="186"/>
      <c r="AS781" s="187"/>
      <c r="AU781" s="186"/>
      <c r="AV781" s="186"/>
      <c r="AW781" s="186"/>
      <c r="AX781" s="186"/>
      <c r="AY781" s="186"/>
      <c r="AZ781" s="186"/>
      <c r="BA781" s="186"/>
      <c r="BC781" s="186"/>
      <c r="BD781" s="186"/>
      <c r="BE781" s="187"/>
    </row>
    <row r="782" spans="2:57" x14ac:dyDescent="0.3">
      <c r="F782" s="185"/>
      <c r="H782" s="186"/>
      <c r="J782" s="186"/>
      <c r="K782" s="186"/>
      <c r="L782" s="186"/>
      <c r="M782" s="186"/>
      <c r="N782" s="186"/>
      <c r="O782" s="187"/>
      <c r="P782" s="186"/>
      <c r="Q782" s="186"/>
      <c r="R782" s="186"/>
      <c r="S782" s="186"/>
      <c r="T782" s="186"/>
      <c r="U782" s="186"/>
      <c r="V782" s="186"/>
      <c r="W782" s="187"/>
      <c r="X782" s="186"/>
      <c r="Y782" s="186"/>
      <c r="Z782" s="185"/>
      <c r="AA782" s="186"/>
      <c r="AB782" s="186"/>
      <c r="AC782" s="186"/>
      <c r="AD782" s="186"/>
      <c r="AE782" s="186"/>
      <c r="AF782" s="186"/>
      <c r="AG782" s="186"/>
      <c r="AH782" s="185"/>
      <c r="AJ782" s="186"/>
      <c r="AK782" s="186"/>
      <c r="AL782" s="186"/>
      <c r="AM782" s="187"/>
      <c r="AN782" s="186"/>
      <c r="AO782" s="186"/>
      <c r="AQ782" s="186"/>
      <c r="AR782" s="186"/>
      <c r="AS782" s="187"/>
      <c r="AU782" s="186"/>
      <c r="AV782" s="186"/>
      <c r="AW782" s="186"/>
      <c r="AX782" s="186"/>
      <c r="AY782" s="186"/>
      <c r="AZ782" s="186"/>
      <c r="BA782" s="186"/>
      <c r="BC782" s="186"/>
      <c r="BD782" s="186"/>
      <c r="BE782" s="187"/>
    </row>
    <row r="783" spans="2:57" x14ac:dyDescent="0.3">
      <c r="F783" s="185"/>
      <c r="H783" s="186"/>
      <c r="J783" s="186"/>
      <c r="K783" s="186"/>
      <c r="L783" s="186"/>
      <c r="M783" s="186"/>
      <c r="N783" s="186"/>
      <c r="O783" s="187"/>
      <c r="P783" s="186"/>
      <c r="Q783" s="186"/>
      <c r="R783" s="186"/>
      <c r="S783" s="186"/>
      <c r="T783" s="186"/>
      <c r="U783" s="186"/>
      <c r="V783" s="186"/>
      <c r="W783" s="187"/>
      <c r="X783" s="186"/>
      <c r="Y783" s="186"/>
      <c r="Z783" s="185"/>
      <c r="AA783" s="186"/>
      <c r="AB783" s="186"/>
      <c r="AC783" s="186"/>
      <c r="AD783" s="186"/>
      <c r="AE783" s="186"/>
      <c r="AF783" s="186"/>
      <c r="AG783" s="186"/>
      <c r="AH783" s="185"/>
      <c r="AJ783" s="186"/>
      <c r="AK783" s="186"/>
      <c r="AL783" s="186"/>
      <c r="AM783" s="187"/>
      <c r="AN783" s="186"/>
      <c r="AO783" s="186"/>
      <c r="AQ783" s="186"/>
      <c r="AR783" s="186"/>
      <c r="AS783" s="187"/>
      <c r="AU783" s="186"/>
      <c r="AV783" s="186"/>
      <c r="AW783" s="186"/>
      <c r="AX783" s="186"/>
      <c r="AY783" s="186"/>
      <c r="AZ783" s="186"/>
      <c r="BA783" s="186"/>
      <c r="BC783" s="186"/>
      <c r="BD783" s="186"/>
      <c r="BE783" s="187"/>
    </row>
    <row r="784" spans="2:57" x14ac:dyDescent="0.3">
      <c r="F784" s="185"/>
      <c r="H784" s="186"/>
      <c r="J784" s="186"/>
      <c r="K784" s="186"/>
      <c r="L784" s="186"/>
      <c r="M784" s="186"/>
      <c r="N784" s="186"/>
      <c r="O784" s="187"/>
      <c r="P784" s="186"/>
      <c r="Q784" s="186"/>
      <c r="R784" s="186"/>
      <c r="S784" s="186"/>
      <c r="T784" s="186"/>
      <c r="U784" s="186"/>
      <c r="V784" s="186"/>
      <c r="W784" s="187"/>
      <c r="X784" s="186"/>
      <c r="Y784" s="186"/>
      <c r="Z784" s="185"/>
      <c r="AA784" s="186"/>
      <c r="AB784" s="186"/>
      <c r="AC784" s="186"/>
      <c r="AD784" s="186"/>
      <c r="AE784" s="186"/>
      <c r="AF784" s="186"/>
      <c r="AG784" s="186"/>
      <c r="AH784" s="185"/>
      <c r="AJ784" s="186"/>
      <c r="AK784" s="186"/>
      <c r="AL784" s="186"/>
      <c r="AM784" s="187"/>
      <c r="AN784" s="186"/>
      <c r="AO784" s="186"/>
      <c r="AQ784" s="186"/>
      <c r="AR784" s="186"/>
      <c r="AS784" s="187"/>
      <c r="AU784" s="186"/>
      <c r="AV784" s="186"/>
      <c r="AW784" s="186"/>
      <c r="AX784" s="186"/>
      <c r="AY784" s="186"/>
      <c r="AZ784" s="186"/>
      <c r="BA784" s="186"/>
      <c r="BC784" s="186"/>
      <c r="BD784" s="186"/>
      <c r="BE784" s="187"/>
    </row>
    <row r="785" spans="6:57" x14ac:dyDescent="0.3">
      <c r="F785" s="185"/>
      <c r="H785" s="186"/>
      <c r="J785" s="186"/>
      <c r="K785" s="186"/>
      <c r="L785" s="186"/>
      <c r="M785" s="186"/>
      <c r="N785" s="186"/>
      <c r="O785" s="187"/>
      <c r="P785" s="186"/>
      <c r="Q785" s="186"/>
      <c r="R785" s="186"/>
      <c r="S785" s="186"/>
      <c r="T785" s="186"/>
      <c r="U785" s="186"/>
      <c r="V785" s="186"/>
      <c r="W785" s="187"/>
      <c r="X785" s="186"/>
      <c r="Y785" s="186"/>
      <c r="Z785" s="185"/>
      <c r="AA785" s="186"/>
      <c r="AB785" s="186"/>
      <c r="AC785" s="186"/>
      <c r="AD785" s="186"/>
      <c r="AE785" s="186"/>
      <c r="AF785" s="186"/>
      <c r="AG785" s="186"/>
      <c r="AH785" s="185"/>
      <c r="AJ785" s="186"/>
      <c r="AK785" s="186"/>
      <c r="AL785" s="186"/>
      <c r="AM785" s="187"/>
      <c r="AN785" s="186"/>
      <c r="AO785" s="186"/>
      <c r="AQ785" s="186"/>
      <c r="AR785" s="186"/>
      <c r="AS785" s="187"/>
      <c r="AU785" s="186"/>
      <c r="AV785" s="186"/>
      <c r="AW785" s="186"/>
      <c r="AX785" s="186"/>
      <c r="AY785" s="186"/>
      <c r="AZ785" s="186"/>
      <c r="BA785" s="186"/>
      <c r="BC785" s="186"/>
      <c r="BD785" s="186"/>
      <c r="BE785" s="187"/>
    </row>
    <row r="786" spans="6:57" x14ac:dyDescent="0.3">
      <c r="F786" s="185"/>
      <c r="H786" s="186"/>
      <c r="J786" s="186"/>
      <c r="K786" s="186"/>
      <c r="L786" s="186"/>
      <c r="M786" s="186"/>
      <c r="N786" s="186"/>
      <c r="O786" s="187"/>
      <c r="P786" s="186"/>
      <c r="Q786" s="186"/>
      <c r="R786" s="186"/>
      <c r="S786" s="186"/>
      <c r="T786" s="186"/>
      <c r="U786" s="186"/>
      <c r="V786" s="186"/>
      <c r="W786" s="187"/>
      <c r="X786" s="186"/>
      <c r="Y786" s="186"/>
      <c r="Z786" s="185"/>
      <c r="AA786" s="186"/>
      <c r="AB786" s="186"/>
      <c r="AC786" s="186"/>
      <c r="AD786" s="186"/>
      <c r="AE786" s="186"/>
      <c r="AF786" s="186"/>
      <c r="AG786" s="186"/>
      <c r="AH786" s="185"/>
      <c r="AJ786" s="186"/>
      <c r="AK786" s="186"/>
      <c r="AL786" s="186"/>
      <c r="AM786" s="187"/>
      <c r="AN786" s="186"/>
      <c r="AO786" s="186"/>
      <c r="AQ786" s="186"/>
      <c r="AR786" s="186"/>
      <c r="AS786" s="187"/>
      <c r="AU786" s="186"/>
      <c r="AV786" s="186"/>
      <c r="AW786" s="186"/>
      <c r="AX786" s="186"/>
      <c r="AY786" s="186"/>
      <c r="AZ786" s="186"/>
      <c r="BA786" s="186"/>
      <c r="BC786" s="186"/>
      <c r="BD786" s="186"/>
      <c r="BE786" s="187"/>
    </row>
    <row r="787" spans="6:57" x14ac:dyDescent="0.3">
      <c r="F787" s="185"/>
      <c r="H787" s="186"/>
      <c r="J787" s="186"/>
      <c r="K787" s="186"/>
      <c r="L787" s="186"/>
      <c r="M787" s="186"/>
      <c r="N787" s="186"/>
      <c r="O787" s="187"/>
      <c r="P787" s="186"/>
      <c r="Q787" s="186"/>
      <c r="R787" s="186"/>
      <c r="S787" s="186"/>
      <c r="T787" s="186"/>
      <c r="U787" s="186"/>
      <c r="V787" s="186"/>
      <c r="W787" s="187"/>
      <c r="X787" s="186"/>
      <c r="Y787" s="186"/>
      <c r="Z787" s="185"/>
      <c r="AA787" s="186"/>
      <c r="AB787" s="186"/>
      <c r="AC787" s="186"/>
      <c r="AD787" s="186"/>
      <c r="AE787" s="186"/>
      <c r="AF787" s="186"/>
      <c r="AG787" s="186"/>
      <c r="AH787" s="185"/>
      <c r="AJ787" s="186"/>
      <c r="AK787" s="186"/>
      <c r="AL787" s="186"/>
      <c r="AM787" s="187"/>
      <c r="AN787" s="186"/>
      <c r="AO787" s="186"/>
      <c r="AQ787" s="186"/>
      <c r="AR787" s="186"/>
      <c r="AS787" s="187"/>
      <c r="AU787" s="186"/>
      <c r="AV787" s="186"/>
      <c r="AW787" s="186"/>
      <c r="AX787" s="186"/>
      <c r="AY787" s="186"/>
      <c r="AZ787" s="186"/>
      <c r="BA787" s="186"/>
      <c r="BC787" s="186"/>
      <c r="BD787" s="186"/>
      <c r="BE787" s="187"/>
    </row>
    <row r="788" spans="6:57" x14ac:dyDescent="0.3">
      <c r="F788" s="185"/>
      <c r="H788" s="186"/>
      <c r="J788" s="186"/>
      <c r="K788" s="186"/>
      <c r="L788" s="186"/>
      <c r="M788" s="186"/>
      <c r="N788" s="186"/>
      <c r="O788" s="187"/>
      <c r="P788" s="186"/>
      <c r="Q788" s="186"/>
      <c r="R788" s="186"/>
      <c r="S788" s="186"/>
      <c r="T788" s="186"/>
      <c r="U788" s="186"/>
      <c r="V788" s="186"/>
      <c r="W788" s="187"/>
      <c r="X788" s="186"/>
      <c r="Y788" s="186"/>
      <c r="Z788" s="185"/>
      <c r="AA788" s="186"/>
      <c r="AB788" s="186"/>
      <c r="AC788" s="186"/>
      <c r="AD788" s="186"/>
      <c r="AE788" s="186"/>
      <c r="AF788" s="186"/>
      <c r="AG788" s="186"/>
      <c r="AH788" s="185"/>
      <c r="AJ788" s="186"/>
      <c r="AK788" s="186"/>
      <c r="AL788" s="186"/>
      <c r="AM788" s="187"/>
      <c r="AN788" s="186"/>
      <c r="AO788" s="186"/>
      <c r="AQ788" s="186"/>
      <c r="AR788" s="186"/>
      <c r="AS788" s="187"/>
      <c r="AU788" s="186"/>
      <c r="AV788" s="186"/>
      <c r="AW788" s="186"/>
      <c r="AX788" s="186"/>
      <c r="AY788" s="186"/>
      <c r="AZ788" s="186"/>
      <c r="BA788" s="186"/>
      <c r="BC788" s="186"/>
      <c r="BD788" s="186"/>
      <c r="BE788" s="187"/>
    </row>
    <row r="789" spans="6:57" x14ac:dyDescent="0.3">
      <c r="F789" s="185"/>
      <c r="H789" s="186"/>
      <c r="J789" s="186"/>
      <c r="K789" s="186"/>
      <c r="L789" s="186"/>
      <c r="M789" s="186"/>
      <c r="N789" s="186"/>
      <c r="O789" s="187"/>
      <c r="P789" s="186"/>
      <c r="Q789" s="186"/>
      <c r="R789" s="186"/>
      <c r="S789" s="186"/>
      <c r="T789" s="186"/>
      <c r="U789" s="186"/>
      <c r="V789" s="186"/>
      <c r="W789" s="187"/>
      <c r="X789" s="186"/>
      <c r="Y789" s="186"/>
      <c r="Z789" s="185"/>
      <c r="AA789" s="186"/>
      <c r="AB789" s="186"/>
      <c r="AC789" s="186"/>
      <c r="AD789" s="186"/>
      <c r="AE789" s="186"/>
      <c r="AF789" s="186"/>
      <c r="AG789" s="186"/>
      <c r="AH789" s="185"/>
      <c r="AJ789" s="186"/>
      <c r="AK789" s="186"/>
      <c r="AL789" s="186"/>
      <c r="AM789" s="187"/>
      <c r="AN789" s="186"/>
      <c r="AO789" s="186"/>
      <c r="AQ789" s="186"/>
      <c r="AR789" s="186"/>
      <c r="AS789" s="187"/>
      <c r="AU789" s="186"/>
      <c r="AV789" s="186"/>
      <c r="AW789" s="186"/>
      <c r="AX789" s="186"/>
      <c r="AY789" s="186"/>
      <c r="AZ789" s="186"/>
      <c r="BA789" s="186"/>
      <c r="BC789" s="186"/>
      <c r="BD789" s="186"/>
      <c r="BE789" s="187"/>
    </row>
    <row r="790" spans="6:57" x14ac:dyDescent="0.3">
      <c r="F790" s="185"/>
      <c r="H790" s="186"/>
      <c r="J790" s="186"/>
      <c r="K790" s="186"/>
      <c r="L790" s="186"/>
      <c r="M790" s="186"/>
      <c r="N790" s="186"/>
      <c r="O790" s="187"/>
      <c r="P790" s="186"/>
      <c r="Q790" s="186"/>
      <c r="R790" s="186"/>
      <c r="S790" s="186"/>
      <c r="T790" s="186"/>
      <c r="U790" s="186"/>
      <c r="V790" s="186"/>
      <c r="W790" s="187"/>
      <c r="X790" s="186"/>
      <c r="Y790" s="186"/>
      <c r="Z790" s="185"/>
      <c r="AA790" s="186"/>
      <c r="AB790" s="186"/>
      <c r="AC790" s="186"/>
      <c r="AD790" s="186"/>
      <c r="AE790" s="186"/>
      <c r="AF790" s="186"/>
      <c r="AG790" s="186"/>
      <c r="AH790" s="185"/>
      <c r="AJ790" s="186"/>
      <c r="AK790" s="186"/>
      <c r="AL790" s="186"/>
      <c r="AM790" s="187"/>
      <c r="AN790" s="186"/>
      <c r="AO790" s="186"/>
      <c r="AQ790" s="186"/>
      <c r="AR790" s="186"/>
      <c r="AS790" s="187"/>
      <c r="AU790" s="186"/>
      <c r="AV790" s="186"/>
      <c r="AW790" s="186"/>
      <c r="AX790" s="186"/>
      <c r="AY790" s="186"/>
      <c r="AZ790" s="186"/>
      <c r="BA790" s="186"/>
      <c r="BC790" s="186"/>
      <c r="BD790" s="186"/>
      <c r="BE790" s="187"/>
    </row>
    <row r="791" spans="6:57" x14ac:dyDescent="0.3">
      <c r="F791" s="185"/>
      <c r="H791" s="186"/>
      <c r="J791" s="186"/>
      <c r="K791" s="186"/>
      <c r="L791" s="186"/>
      <c r="M791" s="186"/>
      <c r="N791" s="186"/>
      <c r="O791" s="187"/>
      <c r="P791" s="186"/>
      <c r="Q791" s="186"/>
      <c r="R791" s="186"/>
      <c r="S791" s="186"/>
      <c r="T791" s="186"/>
      <c r="U791" s="186"/>
      <c r="V791" s="186"/>
      <c r="W791" s="187"/>
      <c r="X791" s="186"/>
      <c r="Y791" s="186"/>
      <c r="Z791" s="185"/>
      <c r="AA791" s="186"/>
      <c r="AB791" s="186"/>
      <c r="AC791" s="186"/>
      <c r="AD791" s="186"/>
      <c r="AE791" s="186"/>
      <c r="AF791" s="186"/>
      <c r="AG791" s="186"/>
      <c r="AH791" s="185"/>
      <c r="AJ791" s="186"/>
      <c r="AK791" s="186"/>
      <c r="AL791" s="186"/>
      <c r="AM791" s="187"/>
      <c r="AN791" s="186"/>
      <c r="AO791" s="186"/>
      <c r="AQ791" s="186"/>
      <c r="AR791" s="186"/>
      <c r="AS791" s="187"/>
      <c r="AU791" s="186"/>
      <c r="AV791" s="186"/>
      <c r="AW791" s="186"/>
      <c r="AX791" s="186"/>
      <c r="AY791" s="186"/>
      <c r="AZ791" s="186"/>
      <c r="BA791" s="186"/>
      <c r="BC791" s="186"/>
      <c r="BD791" s="186"/>
      <c r="BE791" s="187"/>
    </row>
    <row r="792" spans="6:57" x14ac:dyDescent="0.3">
      <c r="F792" s="185"/>
      <c r="H792" s="186"/>
      <c r="J792" s="186"/>
      <c r="K792" s="186"/>
      <c r="L792" s="186"/>
      <c r="M792" s="186"/>
      <c r="N792" s="186"/>
      <c r="O792" s="187"/>
      <c r="P792" s="186"/>
      <c r="Q792" s="186"/>
      <c r="R792" s="186"/>
      <c r="S792" s="186"/>
      <c r="T792" s="186"/>
      <c r="U792" s="186"/>
      <c r="V792" s="186"/>
      <c r="W792" s="187"/>
      <c r="X792" s="186"/>
      <c r="Y792" s="186"/>
      <c r="Z792" s="185"/>
      <c r="AA792" s="186"/>
      <c r="AB792" s="186"/>
      <c r="AC792" s="186"/>
      <c r="AD792" s="186"/>
      <c r="AE792" s="186"/>
      <c r="AF792" s="186"/>
      <c r="AG792" s="186"/>
      <c r="AH792" s="185"/>
      <c r="AJ792" s="186"/>
      <c r="AK792" s="186"/>
      <c r="AL792" s="186"/>
      <c r="AM792" s="187"/>
      <c r="AN792" s="186"/>
      <c r="AO792" s="186"/>
      <c r="AQ792" s="186"/>
      <c r="AR792" s="186"/>
      <c r="AS792" s="187"/>
      <c r="AU792" s="186"/>
      <c r="AV792" s="186"/>
      <c r="AW792" s="186"/>
      <c r="AX792" s="186"/>
      <c r="AY792" s="186"/>
      <c r="AZ792" s="186"/>
      <c r="BA792" s="186"/>
      <c r="BC792" s="186"/>
      <c r="BD792" s="186"/>
      <c r="BE792" s="187"/>
    </row>
    <row r="793" spans="6:57" x14ac:dyDescent="0.3">
      <c r="F793" s="185"/>
      <c r="H793" s="186"/>
      <c r="J793" s="186"/>
      <c r="K793" s="186"/>
      <c r="L793" s="186"/>
      <c r="M793" s="186"/>
      <c r="N793" s="186"/>
      <c r="O793" s="187"/>
      <c r="P793" s="186"/>
      <c r="Q793" s="186"/>
      <c r="R793" s="186"/>
      <c r="S793" s="186"/>
      <c r="T793" s="186"/>
      <c r="U793" s="186"/>
      <c r="V793" s="186"/>
      <c r="W793" s="187"/>
      <c r="X793" s="186"/>
      <c r="Y793" s="186"/>
      <c r="Z793" s="185"/>
      <c r="AA793" s="186"/>
      <c r="AB793" s="186"/>
      <c r="AC793" s="186"/>
      <c r="AD793" s="186"/>
      <c r="AE793" s="186"/>
      <c r="AF793" s="186"/>
      <c r="AG793" s="186"/>
      <c r="AH793" s="185"/>
      <c r="AJ793" s="186"/>
      <c r="AK793" s="186"/>
      <c r="AL793" s="186"/>
      <c r="AM793" s="187"/>
      <c r="AN793" s="186"/>
      <c r="AO793" s="186"/>
      <c r="AQ793" s="186"/>
      <c r="AR793" s="186"/>
      <c r="AS793" s="187"/>
      <c r="AU793" s="186"/>
      <c r="AV793" s="186"/>
      <c r="AW793" s="186"/>
      <c r="AX793" s="186"/>
      <c r="AY793" s="186"/>
      <c r="AZ793" s="186"/>
      <c r="BA793" s="186"/>
      <c r="BC793" s="186"/>
      <c r="BD793" s="186"/>
      <c r="BE793" s="187"/>
    </row>
    <row r="794" spans="6:57" x14ac:dyDescent="0.3">
      <c r="F794" s="185"/>
      <c r="H794" s="186"/>
      <c r="J794" s="186"/>
      <c r="K794" s="186"/>
      <c r="L794" s="186"/>
      <c r="M794" s="186"/>
      <c r="N794" s="186"/>
      <c r="O794" s="187"/>
      <c r="P794" s="186"/>
      <c r="Q794" s="186"/>
      <c r="R794" s="186"/>
      <c r="S794" s="186"/>
      <c r="T794" s="186"/>
      <c r="U794" s="186"/>
      <c r="V794" s="186"/>
      <c r="W794" s="187"/>
      <c r="X794" s="186"/>
      <c r="Y794" s="186"/>
      <c r="Z794" s="185"/>
      <c r="AA794" s="186"/>
      <c r="AB794" s="186"/>
      <c r="AC794" s="186"/>
      <c r="AD794" s="186"/>
      <c r="AE794" s="186"/>
      <c r="AF794" s="186"/>
      <c r="AG794" s="186"/>
      <c r="AH794" s="185"/>
      <c r="AJ794" s="186"/>
      <c r="AK794" s="186"/>
      <c r="AL794" s="186"/>
      <c r="AM794" s="187"/>
      <c r="AN794" s="186"/>
      <c r="AO794" s="186"/>
      <c r="AQ794" s="186"/>
      <c r="AR794" s="186"/>
      <c r="AS794" s="187"/>
      <c r="AU794" s="186"/>
      <c r="AV794" s="186"/>
      <c r="AW794" s="186"/>
      <c r="AX794" s="186"/>
      <c r="AY794" s="186"/>
      <c r="AZ794" s="186"/>
      <c r="BA794" s="186"/>
      <c r="BC794" s="186"/>
      <c r="BD794" s="186"/>
      <c r="BE794" s="187"/>
    </row>
    <row r="795" spans="6:57" x14ac:dyDescent="0.3">
      <c r="F795" s="185"/>
      <c r="H795" s="186"/>
      <c r="J795" s="186"/>
      <c r="K795" s="186"/>
      <c r="L795" s="186"/>
      <c r="M795" s="186"/>
      <c r="N795" s="186"/>
      <c r="O795" s="187"/>
      <c r="P795" s="186"/>
      <c r="Q795" s="186"/>
      <c r="R795" s="186"/>
      <c r="S795" s="186"/>
      <c r="T795" s="186"/>
      <c r="U795" s="186"/>
      <c r="V795" s="186"/>
      <c r="W795" s="187"/>
      <c r="X795" s="186"/>
      <c r="Y795" s="186"/>
      <c r="Z795" s="185"/>
      <c r="AA795" s="186"/>
      <c r="AB795" s="186"/>
      <c r="AC795" s="186"/>
      <c r="AD795" s="186"/>
      <c r="AE795" s="186"/>
      <c r="AF795" s="186"/>
      <c r="AG795" s="186"/>
      <c r="AH795" s="185"/>
      <c r="AJ795" s="186"/>
      <c r="AK795" s="186"/>
      <c r="AL795" s="186"/>
      <c r="AM795" s="187"/>
      <c r="AN795" s="186"/>
      <c r="AO795" s="186"/>
      <c r="AQ795" s="186"/>
      <c r="AR795" s="186"/>
      <c r="AS795" s="187"/>
      <c r="AU795" s="186"/>
      <c r="AV795" s="186"/>
      <c r="AW795" s="186"/>
      <c r="AX795" s="186"/>
      <c r="AY795" s="186"/>
      <c r="AZ795" s="186"/>
      <c r="BA795" s="186"/>
      <c r="BC795" s="186"/>
      <c r="BD795" s="186"/>
      <c r="BE795" s="187"/>
    </row>
    <row r="796" spans="6:57" x14ac:dyDescent="0.3">
      <c r="F796" s="185"/>
      <c r="H796" s="186"/>
      <c r="J796" s="186"/>
      <c r="K796" s="186"/>
      <c r="L796" s="186"/>
      <c r="M796" s="186"/>
      <c r="N796" s="186"/>
      <c r="O796" s="187"/>
      <c r="P796" s="186"/>
      <c r="Q796" s="186"/>
      <c r="R796" s="186"/>
      <c r="S796" s="186"/>
      <c r="T796" s="186"/>
      <c r="U796" s="186"/>
      <c r="V796" s="186"/>
      <c r="W796" s="187"/>
      <c r="X796" s="186"/>
      <c r="Y796" s="186"/>
      <c r="Z796" s="185"/>
      <c r="AA796" s="186"/>
      <c r="AB796" s="186"/>
      <c r="AC796" s="186"/>
      <c r="AD796" s="186"/>
      <c r="AE796" s="186"/>
      <c r="AF796" s="186"/>
      <c r="AG796" s="186"/>
      <c r="AH796" s="185"/>
      <c r="AJ796" s="186"/>
      <c r="AK796" s="186"/>
      <c r="AL796" s="186"/>
      <c r="AM796" s="187"/>
      <c r="AN796" s="186"/>
      <c r="AO796" s="186"/>
      <c r="AQ796" s="186"/>
      <c r="AR796" s="186"/>
      <c r="AS796" s="187"/>
      <c r="AU796" s="186"/>
      <c r="AV796" s="186"/>
      <c r="AW796" s="186"/>
      <c r="AX796" s="186"/>
      <c r="AY796" s="186"/>
      <c r="AZ796" s="186"/>
      <c r="BA796" s="186"/>
      <c r="BC796" s="186"/>
      <c r="BD796" s="186"/>
      <c r="BE796" s="187"/>
    </row>
    <row r="797" spans="6:57" x14ac:dyDescent="0.3">
      <c r="F797" s="185"/>
      <c r="H797" s="186"/>
      <c r="J797" s="186"/>
      <c r="K797" s="186"/>
      <c r="L797" s="186"/>
      <c r="M797" s="186"/>
      <c r="N797" s="186"/>
      <c r="O797" s="187"/>
      <c r="P797" s="186"/>
      <c r="Q797" s="186"/>
      <c r="R797" s="186"/>
      <c r="S797" s="186"/>
      <c r="T797" s="186"/>
      <c r="U797" s="186"/>
      <c r="V797" s="186"/>
      <c r="W797" s="187"/>
      <c r="X797" s="186"/>
      <c r="Y797" s="186"/>
      <c r="Z797" s="185"/>
      <c r="AA797" s="186"/>
      <c r="AB797" s="186"/>
      <c r="AC797" s="186"/>
      <c r="AD797" s="186"/>
      <c r="AE797" s="186"/>
      <c r="AF797" s="186"/>
      <c r="AG797" s="186"/>
      <c r="AH797" s="185"/>
      <c r="AJ797" s="186"/>
      <c r="AK797" s="186"/>
      <c r="AL797" s="186"/>
      <c r="AM797" s="187"/>
      <c r="AN797" s="186"/>
      <c r="AO797" s="186"/>
      <c r="AQ797" s="186"/>
      <c r="AR797" s="186"/>
      <c r="AS797" s="187"/>
      <c r="AU797" s="186"/>
      <c r="AV797" s="186"/>
      <c r="AW797" s="186"/>
      <c r="AX797" s="186"/>
      <c r="AY797" s="186"/>
      <c r="AZ797" s="186"/>
      <c r="BA797" s="186"/>
      <c r="BC797" s="186"/>
      <c r="BD797" s="186"/>
      <c r="BE797" s="187"/>
    </row>
    <row r="798" spans="6:57" x14ac:dyDescent="0.3">
      <c r="F798" s="185"/>
      <c r="H798" s="186"/>
      <c r="J798" s="186"/>
      <c r="K798" s="186"/>
      <c r="L798" s="186"/>
      <c r="M798" s="186"/>
      <c r="N798" s="186"/>
      <c r="O798" s="187"/>
      <c r="P798" s="186"/>
      <c r="Q798" s="186"/>
      <c r="R798" s="186"/>
      <c r="S798" s="186"/>
      <c r="T798" s="186"/>
      <c r="U798" s="186"/>
      <c r="V798" s="186"/>
      <c r="W798" s="187"/>
      <c r="X798" s="186"/>
      <c r="Y798" s="186"/>
      <c r="Z798" s="185"/>
      <c r="AA798" s="186"/>
      <c r="AB798" s="186"/>
      <c r="AC798" s="186"/>
      <c r="AD798" s="186"/>
      <c r="AE798" s="186"/>
      <c r="AF798" s="186"/>
      <c r="AG798" s="186"/>
      <c r="AH798" s="185"/>
      <c r="AJ798" s="186"/>
      <c r="AK798" s="186"/>
      <c r="AL798" s="186"/>
      <c r="AM798" s="187"/>
      <c r="AN798" s="186"/>
      <c r="AO798" s="186"/>
      <c r="AQ798" s="186"/>
      <c r="AR798" s="186"/>
      <c r="AS798" s="187"/>
      <c r="AU798" s="186"/>
      <c r="AV798" s="186"/>
      <c r="AW798" s="186"/>
      <c r="AX798" s="186"/>
      <c r="AY798" s="186"/>
      <c r="AZ798" s="186"/>
      <c r="BA798" s="186"/>
      <c r="BC798" s="186"/>
      <c r="BD798" s="186"/>
      <c r="BE798" s="187"/>
    </row>
    <row r="799" spans="6:57" x14ac:dyDescent="0.3">
      <c r="F799" s="185"/>
      <c r="H799" s="186"/>
      <c r="J799" s="186"/>
      <c r="K799" s="186"/>
      <c r="L799" s="186"/>
      <c r="M799" s="186"/>
      <c r="N799" s="186"/>
      <c r="O799" s="187"/>
      <c r="P799" s="186"/>
      <c r="Q799" s="186"/>
      <c r="R799" s="186"/>
      <c r="S799" s="186"/>
      <c r="T799" s="186"/>
      <c r="U799" s="186"/>
      <c r="V799" s="186"/>
      <c r="W799" s="187"/>
      <c r="X799" s="186"/>
      <c r="Y799" s="186"/>
      <c r="Z799" s="185"/>
      <c r="AA799" s="186"/>
      <c r="AB799" s="186"/>
      <c r="AC799" s="186"/>
      <c r="AD799" s="186"/>
      <c r="AE799" s="186"/>
      <c r="AF799" s="186"/>
      <c r="AG799" s="186"/>
      <c r="AH799" s="185"/>
      <c r="AJ799" s="186"/>
      <c r="AK799" s="186"/>
      <c r="AL799" s="186"/>
      <c r="AM799" s="187"/>
      <c r="AN799" s="186"/>
      <c r="AO799" s="186"/>
      <c r="AQ799" s="186"/>
      <c r="AR799" s="186"/>
      <c r="AS799" s="187"/>
      <c r="AU799" s="186"/>
      <c r="AV799" s="186"/>
      <c r="AW799" s="186"/>
      <c r="AX799" s="186"/>
      <c r="AY799" s="186"/>
      <c r="AZ799" s="186"/>
      <c r="BA799" s="186"/>
      <c r="BC799" s="186"/>
      <c r="BD799" s="186"/>
      <c r="BE799" s="187"/>
    </row>
    <row r="800" spans="6:57" x14ac:dyDescent="0.3">
      <c r="F800" s="185"/>
      <c r="H800" s="186"/>
      <c r="J800" s="186"/>
      <c r="K800" s="186"/>
      <c r="L800" s="186"/>
      <c r="M800" s="186"/>
      <c r="N800" s="186"/>
      <c r="O800" s="187"/>
      <c r="P800" s="186"/>
      <c r="Q800" s="186"/>
      <c r="R800" s="186"/>
      <c r="S800" s="186"/>
      <c r="T800" s="186"/>
      <c r="U800" s="186"/>
      <c r="V800" s="186"/>
      <c r="W800" s="187"/>
      <c r="X800" s="186"/>
      <c r="Y800" s="186"/>
      <c r="Z800" s="185"/>
      <c r="AA800" s="186"/>
      <c r="AB800" s="186"/>
      <c r="AC800" s="186"/>
      <c r="AD800" s="186"/>
      <c r="AE800" s="186"/>
      <c r="AF800" s="186"/>
      <c r="AG800" s="186"/>
      <c r="AH800" s="185"/>
      <c r="AJ800" s="186"/>
      <c r="AK800" s="186"/>
      <c r="AL800" s="186"/>
      <c r="AM800" s="187"/>
      <c r="AN800" s="186"/>
      <c r="AO800" s="186"/>
      <c r="AQ800" s="186"/>
      <c r="AR800" s="186"/>
      <c r="AS800" s="187"/>
      <c r="AU800" s="186"/>
      <c r="AV800" s="186"/>
      <c r="AW800" s="186"/>
      <c r="AX800" s="186"/>
      <c r="AY800" s="186"/>
      <c r="AZ800" s="186"/>
      <c r="BA800" s="186"/>
      <c r="BC800" s="186"/>
      <c r="BD800" s="186"/>
      <c r="BE800" s="187"/>
    </row>
    <row r="801" spans="6:57" x14ac:dyDescent="0.3">
      <c r="F801" s="185"/>
      <c r="H801" s="186"/>
      <c r="J801" s="186"/>
      <c r="K801" s="186"/>
      <c r="L801" s="186"/>
      <c r="M801" s="186"/>
      <c r="N801" s="186"/>
      <c r="O801" s="187"/>
      <c r="P801" s="186"/>
      <c r="Q801" s="186"/>
      <c r="R801" s="186"/>
      <c r="S801" s="186"/>
      <c r="T801" s="186"/>
      <c r="U801" s="186"/>
      <c r="V801" s="186"/>
      <c r="W801" s="187"/>
      <c r="X801" s="186"/>
      <c r="Y801" s="186"/>
      <c r="Z801" s="185"/>
      <c r="AA801" s="186"/>
      <c r="AB801" s="186"/>
      <c r="AC801" s="186"/>
      <c r="AD801" s="186"/>
      <c r="AE801" s="186"/>
      <c r="AF801" s="186"/>
      <c r="AG801" s="186"/>
      <c r="AH801" s="185"/>
      <c r="AJ801" s="186"/>
      <c r="AK801" s="186"/>
      <c r="AL801" s="186"/>
      <c r="AM801" s="187"/>
      <c r="AN801" s="186"/>
      <c r="AO801" s="186"/>
      <c r="AQ801" s="186"/>
      <c r="AR801" s="186"/>
      <c r="AS801" s="187"/>
      <c r="AU801" s="186"/>
      <c r="AV801" s="186"/>
      <c r="AW801" s="186"/>
      <c r="AX801" s="186"/>
      <c r="AY801" s="186"/>
      <c r="AZ801" s="186"/>
      <c r="BA801" s="186"/>
      <c r="BC801" s="186"/>
      <c r="BD801" s="186"/>
      <c r="BE801" s="187"/>
    </row>
    <row r="802" spans="6:57" x14ac:dyDescent="0.3">
      <c r="F802" s="185"/>
      <c r="H802" s="186"/>
      <c r="J802" s="186"/>
      <c r="K802" s="186"/>
      <c r="L802" s="186"/>
      <c r="M802" s="186"/>
      <c r="N802" s="186"/>
      <c r="O802" s="187"/>
      <c r="P802" s="186"/>
      <c r="Q802" s="186"/>
      <c r="R802" s="186"/>
      <c r="S802" s="186"/>
      <c r="T802" s="186"/>
      <c r="U802" s="186"/>
      <c r="V802" s="186"/>
      <c r="W802" s="187"/>
      <c r="X802" s="186"/>
      <c r="Y802" s="186"/>
      <c r="Z802" s="185"/>
      <c r="AA802" s="186"/>
      <c r="AB802" s="186"/>
      <c r="AC802" s="186"/>
      <c r="AD802" s="186"/>
      <c r="AE802" s="186"/>
      <c r="AF802" s="186"/>
      <c r="AG802" s="186"/>
      <c r="AH802" s="185"/>
      <c r="AJ802" s="186"/>
      <c r="AK802" s="186"/>
      <c r="AL802" s="186"/>
      <c r="AM802" s="187"/>
      <c r="AN802" s="186"/>
      <c r="AO802" s="186"/>
      <c r="AQ802" s="186"/>
      <c r="AR802" s="186"/>
      <c r="AS802" s="187"/>
      <c r="AU802" s="186"/>
      <c r="AV802" s="186"/>
      <c r="AW802" s="186"/>
      <c r="AX802" s="186"/>
      <c r="AY802" s="186"/>
      <c r="AZ802" s="186"/>
      <c r="BA802" s="186"/>
      <c r="BC802" s="186"/>
      <c r="BD802" s="186"/>
      <c r="BE802" s="187"/>
    </row>
    <row r="803" spans="6:57" x14ac:dyDescent="0.3">
      <c r="F803" s="185"/>
      <c r="H803" s="186"/>
      <c r="J803" s="186"/>
      <c r="K803" s="186"/>
      <c r="L803" s="186"/>
      <c r="M803" s="186"/>
      <c r="N803" s="186"/>
      <c r="O803" s="187"/>
      <c r="P803" s="186"/>
      <c r="Q803" s="186"/>
      <c r="R803" s="186"/>
      <c r="S803" s="186"/>
      <c r="T803" s="186"/>
      <c r="U803" s="186"/>
      <c r="V803" s="186"/>
      <c r="W803" s="187"/>
      <c r="X803" s="186"/>
      <c r="Y803" s="186"/>
      <c r="Z803" s="185"/>
      <c r="AA803" s="186"/>
      <c r="AB803" s="186"/>
      <c r="AC803" s="186"/>
      <c r="AD803" s="186"/>
      <c r="AE803" s="186"/>
      <c r="AF803" s="186"/>
      <c r="AG803" s="186"/>
      <c r="AH803" s="185"/>
      <c r="AJ803" s="186"/>
      <c r="AK803" s="186"/>
      <c r="AL803" s="186"/>
      <c r="AM803" s="187"/>
      <c r="AN803" s="186"/>
      <c r="AO803" s="186"/>
      <c r="AQ803" s="186"/>
      <c r="AR803" s="186"/>
      <c r="AS803" s="187"/>
      <c r="AU803" s="186"/>
      <c r="AV803" s="186"/>
      <c r="AW803" s="186"/>
      <c r="AX803" s="186"/>
      <c r="AY803" s="186"/>
      <c r="AZ803" s="186"/>
      <c r="BA803" s="186"/>
      <c r="BC803" s="186"/>
      <c r="BD803" s="186"/>
      <c r="BE803" s="187"/>
    </row>
    <row r="804" spans="6:57" x14ac:dyDescent="0.3">
      <c r="F804" s="185"/>
      <c r="H804" s="186"/>
      <c r="J804" s="186"/>
      <c r="K804" s="186"/>
      <c r="L804" s="186"/>
      <c r="M804" s="186"/>
      <c r="N804" s="186"/>
      <c r="O804" s="187"/>
      <c r="P804" s="186"/>
      <c r="Q804" s="186"/>
      <c r="R804" s="186"/>
      <c r="S804" s="186"/>
      <c r="T804" s="186"/>
      <c r="U804" s="186"/>
      <c r="V804" s="186"/>
      <c r="W804" s="187"/>
      <c r="X804" s="186"/>
      <c r="Y804" s="186"/>
      <c r="Z804" s="185"/>
      <c r="AA804" s="186"/>
      <c r="AB804" s="186"/>
      <c r="AC804" s="186"/>
      <c r="AD804" s="186"/>
      <c r="AE804" s="186"/>
      <c r="AF804" s="186"/>
      <c r="AG804" s="186"/>
      <c r="AH804" s="185"/>
      <c r="AJ804" s="186"/>
      <c r="AK804" s="186"/>
      <c r="AL804" s="186"/>
      <c r="AM804" s="187"/>
      <c r="AN804" s="186"/>
      <c r="AO804" s="186"/>
      <c r="AQ804" s="186"/>
      <c r="AR804" s="186"/>
      <c r="AS804" s="187"/>
      <c r="AU804" s="186"/>
      <c r="AV804" s="186"/>
      <c r="AW804" s="186"/>
      <c r="AX804" s="186"/>
      <c r="AY804" s="186"/>
      <c r="AZ804" s="186"/>
      <c r="BA804" s="186"/>
      <c r="BC804" s="186"/>
      <c r="BD804" s="186"/>
      <c r="BE804" s="187"/>
    </row>
    <row r="805" spans="6:57" x14ac:dyDescent="0.3">
      <c r="F805" s="185"/>
      <c r="H805" s="186"/>
      <c r="J805" s="186"/>
      <c r="K805" s="186"/>
      <c r="L805" s="186"/>
      <c r="M805" s="186"/>
      <c r="N805" s="186"/>
      <c r="O805" s="187"/>
      <c r="P805" s="186"/>
      <c r="Q805" s="186"/>
      <c r="R805" s="186"/>
      <c r="S805" s="186"/>
      <c r="T805" s="186"/>
      <c r="U805" s="186"/>
      <c r="V805" s="186"/>
      <c r="W805" s="187"/>
      <c r="X805" s="186"/>
      <c r="Y805" s="186"/>
      <c r="Z805" s="185"/>
      <c r="AA805" s="186"/>
      <c r="AB805" s="186"/>
      <c r="AC805" s="186"/>
      <c r="AD805" s="186"/>
      <c r="AE805" s="186"/>
      <c r="AF805" s="186"/>
      <c r="AG805" s="186"/>
      <c r="AH805" s="185"/>
      <c r="AJ805" s="186"/>
      <c r="AK805" s="186"/>
      <c r="AL805" s="186"/>
      <c r="AM805" s="187"/>
      <c r="AN805" s="186"/>
      <c r="AO805" s="186"/>
      <c r="AQ805" s="186"/>
      <c r="AR805" s="186"/>
      <c r="AS805" s="187"/>
      <c r="AU805" s="186"/>
      <c r="AV805" s="186"/>
      <c r="AW805" s="186"/>
      <c r="AX805" s="186"/>
      <c r="AY805" s="186"/>
      <c r="AZ805" s="186"/>
      <c r="BA805" s="186"/>
      <c r="BC805" s="186"/>
      <c r="BD805" s="186"/>
      <c r="BE805" s="187"/>
    </row>
    <row r="806" spans="6:57" x14ac:dyDescent="0.3">
      <c r="F806" s="185"/>
      <c r="H806" s="186"/>
      <c r="J806" s="186"/>
      <c r="K806" s="186"/>
      <c r="L806" s="186"/>
      <c r="M806" s="186"/>
      <c r="N806" s="186"/>
      <c r="O806" s="187"/>
      <c r="P806" s="186"/>
      <c r="Q806" s="186"/>
      <c r="R806" s="186"/>
      <c r="S806" s="186"/>
      <c r="T806" s="186"/>
      <c r="U806" s="186"/>
      <c r="V806" s="186"/>
      <c r="W806" s="187"/>
      <c r="X806" s="186"/>
      <c r="Y806" s="186"/>
      <c r="Z806" s="185"/>
      <c r="AA806" s="186"/>
      <c r="AB806" s="186"/>
      <c r="AC806" s="186"/>
      <c r="AD806" s="186"/>
      <c r="AE806" s="186"/>
      <c r="AF806" s="186"/>
      <c r="AG806" s="186"/>
      <c r="AH806" s="185"/>
      <c r="AJ806" s="186"/>
      <c r="AK806" s="186"/>
      <c r="AL806" s="186"/>
      <c r="AM806" s="187"/>
      <c r="AN806" s="186"/>
      <c r="AO806" s="186"/>
      <c r="AQ806" s="186"/>
      <c r="AR806" s="186"/>
      <c r="AS806" s="187"/>
      <c r="AU806" s="186"/>
      <c r="AV806" s="186"/>
      <c r="AW806" s="186"/>
      <c r="AX806" s="186"/>
      <c r="AY806" s="186"/>
      <c r="AZ806" s="186"/>
      <c r="BA806" s="186"/>
      <c r="BC806" s="186"/>
      <c r="BD806" s="186"/>
      <c r="BE806" s="187"/>
    </row>
    <row r="807" spans="6:57" x14ac:dyDescent="0.3">
      <c r="F807" s="185"/>
      <c r="H807" s="186"/>
      <c r="J807" s="186"/>
      <c r="K807" s="186"/>
      <c r="L807" s="186"/>
      <c r="M807" s="186"/>
      <c r="N807" s="186"/>
      <c r="O807" s="187"/>
      <c r="P807" s="186"/>
      <c r="Q807" s="186"/>
      <c r="R807" s="186"/>
      <c r="S807" s="186"/>
      <c r="T807" s="186"/>
      <c r="U807" s="186"/>
      <c r="V807" s="186"/>
      <c r="W807" s="187"/>
      <c r="X807" s="186"/>
      <c r="Y807" s="186"/>
      <c r="Z807" s="185"/>
      <c r="AA807" s="186"/>
      <c r="AB807" s="186"/>
      <c r="AC807" s="186"/>
      <c r="AD807" s="186"/>
      <c r="AE807" s="186"/>
      <c r="AF807" s="186"/>
      <c r="AG807" s="186"/>
      <c r="AH807" s="185"/>
      <c r="AJ807" s="186"/>
      <c r="AK807" s="186"/>
      <c r="AL807" s="186"/>
      <c r="AM807" s="187"/>
      <c r="AN807" s="186"/>
      <c r="AO807" s="186"/>
      <c r="AQ807" s="186"/>
      <c r="AR807" s="186"/>
      <c r="AS807" s="187"/>
      <c r="AU807" s="186"/>
      <c r="AV807" s="186"/>
      <c r="AW807" s="186"/>
      <c r="AX807" s="186"/>
      <c r="AY807" s="186"/>
      <c r="AZ807" s="186"/>
      <c r="BA807" s="186"/>
      <c r="BC807" s="186"/>
      <c r="BD807" s="186"/>
      <c r="BE807" s="187"/>
    </row>
    <row r="808" spans="6:57" x14ac:dyDescent="0.3">
      <c r="F808" s="185"/>
      <c r="H808" s="186"/>
      <c r="J808" s="186"/>
      <c r="K808" s="186"/>
      <c r="L808" s="186"/>
      <c r="M808" s="186"/>
      <c r="N808" s="186"/>
      <c r="O808" s="187"/>
      <c r="P808" s="186"/>
      <c r="Q808" s="186"/>
      <c r="R808" s="186"/>
      <c r="S808" s="186"/>
      <c r="T808" s="186"/>
      <c r="U808" s="186"/>
      <c r="V808" s="186"/>
      <c r="W808" s="187"/>
      <c r="X808" s="186"/>
      <c r="Y808" s="186"/>
      <c r="Z808" s="185"/>
      <c r="AA808" s="186"/>
      <c r="AB808" s="186"/>
      <c r="AC808" s="186"/>
      <c r="AD808" s="186"/>
      <c r="AE808" s="186"/>
      <c r="AF808" s="186"/>
      <c r="AG808" s="186"/>
      <c r="AH808" s="185"/>
      <c r="AJ808" s="186"/>
      <c r="AK808" s="186"/>
      <c r="AL808" s="186"/>
      <c r="AM808" s="187"/>
      <c r="AN808" s="186"/>
      <c r="AO808" s="186"/>
      <c r="AQ808" s="186"/>
      <c r="AR808" s="186"/>
      <c r="AS808" s="187"/>
      <c r="AU808" s="186"/>
      <c r="AV808" s="186"/>
      <c r="AW808" s="186"/>
      <c r="AX808" s="186"/>
      <c r="AY808" s="186"/>
      <c r="AZ808" s="186"/>
      <c r="BA808" s="186"/>
      <c r="BC808" s="186"/>
      <c r="BD808" s="186"/>
      <c r="BE808" s="187"/>
    </row>
    <row r="809" spans="6:57" x14ac:dyDescent="0.3">
      <c r="F809" s="185"/>
      <c r="H809" s="186"/>
      <c r="J809" s="186"/>
      <c r="K809" s="186"/>
      <c r="L809" s="186"/>
      <c r="M809" s="186"/>
      <c r="N809" s="186"/>
      <c r="O809" s="187"/>
      <c r="P809" s="186"/>
      <c r="Q809" s="186"/>
      <c r="R809" s="186"/>
      <c r="S809" s="186"/>
      <c r="T809" s="186"/>
      <c r="U809" s="186"/>
      <c r="V809" s="186"/>
      <c r="W809" s="187"/>
      <c r="X809" s="186"/>
      <c r="Y809" s="186"/>
      <c r="Z809" s="185"/>
      <c r="AA809" s="186"/>
      <c r="AB809" s="186"/>
      <c r="AC809" s="186"/>
      <c r="AD809" s="186"/>
      <c r="AE809" s="186"/>
      <c r="AF809" s="186"/>
      <c r="AG809" s="186"/>
      <c r="AH809" s="185"/>
      <c r="AJ809" s="186"/>
      <c r="AK809" s="186"/>
      <c r="AL809" s="186"/>
      <c r="AM809" s="187"/>
      <c r="AN809" s="186"/>
      <c r="AO809" s="186"/>
      <c r="AQ809" s="186"/>
      <c r="AR809" s="186"/>
      <c r="AS809" s="187"/>
      <c r="AU809" s="186"/>
      <c r="AV809" s="186"/>
      <c r="AW809" s="186"/>
      <c r="AX809" s="186"/>
      <c r="AY809" s="186"/>
      <c r="AZ809" s="186"/>
      <c r="BA809" s="186"/>
      <c r="BC809" s="186"/>
      <c r="BD809" s="186"/>
      <c r="BE809" s="187"/>
    </row>
    <row r="810" spans="6:57" x14ac:dyDescent="0.3">
      <c r="F810" s="185"/>
      <c r="H810" s="186"/>
      <c r="J810" s="186"/>
      <c r="K810" s="186"/>
      <c r="L810" s="186"/>
      <c r="M810" s="186"/>
      <c r="N810" s="186"/>
      <c r="O810" s="187"/>
      <c r="P810" s="186"/>
      <c r="Q810" s="186"/>
      <c r="R810" s="186"/>
      <c r="S810" s="186"/>
      <c r="T810" s="186"/>
      <c r="U810" s="186"/>
      <c r="V810" s="186"/>
      <c r="W810" s="187"/>
      <c r="X810" s="186"/>
      <c r="Y810" s="186"/>
      <c r="Z810" s="185"/>
      <c r="AA810" s="186"/>
      <c r="AB810" s="186"/>
      <c r="AC810" s="186"/>
      <c r="AD810" s="186"/>
      <c r="AE810" s="186"/>
      <c r="AF810" s="186"/>
      <c r="AG810" s="186"/>
      <c r="AH810" s="185"/>
      <c r="AJ810" s="186"/>
      <c r="AK810" s="186"/>
      <c r="AL810" s="186"/>
      <c r="AM810" s="187"/>
      <c r="AN810" s="186"/>
      <c r="AO810" s="186"/>
      <c r="AQ810" s="186"/>
      <c r="AR810" s="186"/>
      <c r="AS810" s="187"/>
      <c r="AU810" s="186"/>
      <c r="AV810" s="186"/>
      <c r="AW810" s="186"/>
      <c r="AX810" s="186"/>
      <c r="AY810" s="186"/>
      <c r="AZ810" s="186"/>
      <c r="BA810" s="186"/>
      <c r="BC810" s="186"/>
      <c r="BD810" s="186"/>
      <c r="BE810" s="187"/>
    </row>
    <row r="811" spans="6:57" x14ac:dyDescent="0.3">
      <c r="F811" s="185"/>
      <c r="H811" s="186"/>
      <c r="J811" s="186"/>
      <c r="K811" s="186"/>
      <c r="L811" s="186"/>
      <c r="M811" s="186"/>
      <c r="N811" s="186"/>
      <c r="O811" s="187"/>
      <c r="P811" s="186"/>
      <c r="Q811" s="186"/>
      <c r="R811" s="186"/>
      <c r="S811" s="186"/>
      <c r="T811" s="186"/>
      <c r="U811" s="186"/>
      <c r="V811" s="186"/>
      <c r="W811" s="187"/>
      <c r="X811" s="186"/>
      <c r="Y811" s="186"/>
      <c r="Z811" s="185"/>
      <c r="AA811" s="186"/>
      <c r="AB811" s="186"/>
      <c r="AC811" s="186"/>
      <c r="AD811" s="186"/>
      <c r="AE811" s="186"/>
      <c r="AF811" s="186"/>
      <c r="AG811" s="186"/>
      <c r="AH811" s="185"/>
      <c r="AJ811" s="186"/>
      <c r="AK811" s="186"/>
      <c r="AL811" s="186"/>
      <c r="AM811" s="187"/>
      <c r="AN811" s="186"/>
      <c r="AO811" s="186"/>
      <c r="AQ811" s="186"/>
      <c r="AR811" s="186"/>
      <c r="AS811" s="187"/>
      <c r="AU811" s="186"/>
      <c r="AV811" s="186"/>
      <c r="AW811" s="186"/>
      <c r="AX811" s="186"/>
      <c r="AY811" s="186"/>
      <c r="AZ811" s="186"/>
      <c r="BA811" s="186"/>
      <c r="BC811" s="186"/>
      <c r="BD811" s="186"/>
      <c r="BE811" s="187"/>
    </row>
    <row r="812" spans="6:57" x14ac:dyDescent="0.3">
      <c r="F812" s="185"/>
      <c r="H812" s="186"/>
      <c r="J812" s="186"/>
      <c r="K812" s="186"/>
      <c r="L812" s="186"/>
      <c r="M812" s="186"/>
      <c r="N812" s="186"/>
      <c r="O812" s="187"/>
      <c r="P812" s="186"/>
      <c r="Q812" s="186"/>
      <c r="R812" s="186"/>
      <c r="S812" s="186"/>
      <c r="T812" s="186"/>
      <c r="U812" s="186"/>
      <c r="V812" s="186"/>
      <c r="W812" s="187"/>
      <c r="X812" s="186"/>
      <c r="Y812" s="186"/>
      <c r="Z812" s="185"/>
      <c r="AA812" s="186"/>
      <c r="AB812" s="186"/>
      <c r="AC812" s="186"/>
      <c r="AD812" s="186"/>
      <c r="AE812" s="186"/>
      <c r="AF812" s="186"/>
      <c r="AG812" s="186"/>
      <c r="AH812" s="185"/>
      <c r="AJ812" s="186"/>
      <c r="AK812" s="186"/>
      <c r="AL812" s="186"/>
      <c r="AM812" s="187"/>
      <c r="AN812" s="186"/>
      <c r="AO812" s="186"/>
      <c r="AQ812" s="186"/>
      <c r="AR812" s="186"/>
      <c r="AS812" s="187"/>
      <c r="AU812" s="186"/>
      <c r="AV812" s="186"/>
      <c r="AW812" s="186"/>
      <c r="AX812" s="186"/>
      <c r="AY812" s="186"/>
      <c r="AZ812" s="186"/>
      <c r="BA812" s="186"/>
      <c r="BC812" s="186"/>
      <c r="BD812" s="186"/>
      <c r="BE812" s="187"/>
    </row>
    <row r="813" spans="6:57" x14ac:dyDescent="0.3">
      <c r="F813" s="185"/>
      <c r="H813" s="186"/>
      <c r="J813" s="186"/>
      <c r="K813" s="186"/>
      <c r="L813" s="186"/>
      <c r="M813" s="186"/>
      <c r="N813" s="186"/>
      <c r="O813" s="187"/>
      <c r="P813" s="186"/>
      <c r="Q813" s="186"/>
      <c r="R813" s="186"/>
      <c r="S813" s="186"/>
      <c r="T813" s="186"/>
      <c r="U813" s="186"/>
      <c r="V813" s="186"/>
      <c r="W813" s="187"/>
      <c r="X813" s="186"/>
      <c r="Y813" s="186"/>
      <c r="Z813" s="185"/>
      <c r="AA813" s="186"/>
      <c r="AB813" s="186"/>
      <c r="AC813" s="186"/>
      <c r="AD813" s="186"/>
      <c r="AE813" s="186"/>
      <c r="AF813" s="186"/>
      <c r="AG813" s="186"/>
      <c r="AH813" s="185"/>
      <c r="AJ813" s="186"/>
      <c r="AK813" s="186"/>
      <c r="AL813" s="186"/>
      <c r="AM813" s="187"/>
      <c r="AN813" s="186"/>
      <c r="AO813" s="186"/>
      <c r="AQ813" s="186"/>
      <c r="AR813" s="186"/>
      <c r="AS813" s="187"/>
      <c r="AU813" s="186"/>
      <c r="AV813" s="186"/>
      <c r="AW813" s="186"/>
      <c r="AX813" s="186"/>
      <c r="AY813" s="186"/>
      <c r="AZ813" s="186"/>
      <c r="BA813" s="186"/>
      <c r="BC813" s="186"/>
      <c r="BD813" s="186"/>
      <c r="BE813" s="187"/>
    </row>
    <row r="814" spans="6:57" x14ac:dyDescent="0.3">
      <c r="F814" s="185"/>
      <c r="H814" s="186"/>
      <c r="J814" s="186"/>
      <c r="K814" s="186"/>
      <c r="L814" s="186"/>
      <c r="M814" s="186"/>
      <c r="N814" s="186"/>
      <c r="O814" s="187"/>
      <c r="P814" s="186"/>
      <c r="Q814" s="186"/>
      <c r="R814" s="186"/>
      <c r="S814" s="186"/>
      <c r="T814" s="186"/>
      <c r="U814" s="186"/>
      <c r="V814" s="186"/>
      <c r="W814" s="187"/>
      <c r="X814" s="186"/>
      <c r="Y814" s="186"/>
      <c r="Z814" s="185"/>
      <c r="AA814" s="186"/>
      <c r="AB814" s="186"/>
      <c r="AC814" s="186"/>
      <c r="AD814" s="186"/>
      <c r="AE814" s="186"/>
      <c r="AF814" s="186"/>
      <c r="AG814" s="186"/>
      <c r="AH814" s="185"/>
      <c r="AJ814" s="186"/>
      <c r="AK814" s="186"/>
      <c r="AL814" s="186"/>
      <c r="AM814" s="187"/>
      <c r="AN814" s="186"/>
      <c r="AO814" s="186"/>
      <c r="AQ814" s="186"/>
      <c r="AR814" s="186"/>
      <c r="AS814" s="187"/>
      <c r="AU814" s="186"/>
      <c r="AV814" s="186"/>
      <c r="AW814" s="186"/>
      <c r="AX814" s="186"/>
      <c r="AY814" s="186"/>
      <c r="AZ814" s="186"/>
      <c r="BA814" s="186"/>
      <c r="BC814" s="186"/>
      <c r="BD814" s="186"/>
      <c r="BE814" s="187"/>
    </row>
    <row r="815" spans="6:57" x14ac:dyDescent="0.3">
      <c r="F815" s="185"/>
      <c r="H815" s="186"/>
      <c r="J815" s="186"/>
      <c r="K815" s="186"/>
      <c r="L815" s="186"/>
      <c r="M815" s="186"/>
      <c r="N815" s="186"/>
      <c r="O815" s="187"/>
      <c r="P815" s="186"/>
      <c r="Q815" s="186"/>
      <c r="R815" s="186"/>
      <c r="S815" s="186"/>
      <c r="T815" s="186"/>
      <c r="U815" s="186"/>
      <c r="V815" s="186"/>
      <c r="W815" s="187"/>
      <c r="X815" s="186"/>
      <c r="Y815" s="186"/>
      <c r="Z815" s="185"/>
      <c r="AA815" s="186"/>
      <c r="AB815" s="186"/>
      <c r="AC815" s="186"/>
      <c r="AD815" s="186"/>
      <c r="AE815" s="186"/>
      <c r="AF815" s="186"/>
      <c r="AG815" s="186"/>
      <c r="AH815" s="185"/>
      <c r="AJ815" s="186"/>
      <c r="AK815" s="186"/>
      <c r="AL815" s="186"/>
      <c r="AM815" s="187"/>
      <c r="AN815" s="186"/>
      <c r="AO815" s="186"/>
      <c r="AQ815" s="186"/>
      <c r="AR815" s="186"/>
      <c r="AS815" s="187"/>
      <c r="AU815" s="186"/>
      <c r="AV815" s="186"/>
      <c r="AW815" s="186"/>
      <c r="AX815" s="186"/>
      <c r="AY815" s="186"/>
      <c r="AZ815" s="186"/>
      <c r="BA815" s="186"/>
      <c r="BC815" s="186"/>
      <c r="BD815" s="186"/>
      <c r="BE815" s="187"/>
    </row>
    <row r="816" spans="6:57" x14ac:dyDescent="0.3">
      <c r="F816" s="185"/>
      <c r="H816" s="186"/>
      <c r="J816" s="186"/>
      <c r="K816" s="186"/>
      <c r="L816" s="186"/>
      <c r="M816" s="186"/>
      <c r="N816" s="186"/>
      <c r="O816" s="187"/>
      <c r="P816" s="186"/>
      <c r="Q816" s="186"/>
      <c r="R816" s="186"/>
      <c r="S816" s="186"/>
      <c r="T816" s="186"/>
      <c r="U816" s="186"/>
      <c r="V816" s="186"/>
      <c r="W816" s="187"/>
      <c r="X816" s="186"/>
      <c r="Y816" s="186"/>
      <c r="Z816" s="185"/>
      <c r="AA816" s="186"/>
      <c r="AB816" s="186"/>
      <c r="AC816" s="186"/>
      <c r="AD816" s="186"/>
      <c r="AE816" s="186"/>
      <c r="AF816" s="186"/>
      <c r="AG816" s="186"/>
      <c r="AH816" s="185"/>
      <c r="AJ816" s="186"/>
      <c r="AK816" s="186"/>
      <c r="AL816" s="186"/>
      <c r="AM816" s="187"/>
      <c r="AN816" s="186"/>
      <c r="AO816" s="186"/>
      <c r="AQ816" s="186"/>
      <c r="AR816" s="186"/>
      <c r="AS816" s="187"/>
      <c r="AU816" s="186"/>
      <c r="AV816" s="186"/>
      <c r="AW816" s="186"/>
      <c r="AX816" s="186"/>
      <c r="AY816" s="186"/>
      <c r="AZ816" s="186"/>
      <c r="BA816" s="186"/>
      <c r="BC816" s="186"/>
      <c r="BD816" s="186"/>
      <c r="BE816" s="187"/>
    </row>
    <row r="817" spans="6:57" x14ac:dyDescent="0.3">
      <c r="F817" s="185"/>
      <c r="H817" s="186"/>
      <c r="J817" s="186"/>
      <c r="K817" s="186"/>
      <c r="L817" s="186"/>
      <c r="M817" s="186"/>
      <c r="N817" s="186"/>
      <c r="O817" s="187"/>
      <c r="P817" s="186"/>
      <c r="Q817" s="186"/>
      <c r="R817" s="186"/>
      <c r="S817" s="186"/>
      <c r="T817" s="186"/>
      <c r="U817" s="186"/>
      <c r="V817" s="186"/>
      <c r="W817" s="187"/>
      <c r="X817" s="186"/>
      <c r="Y817" s="186"/>
      <c r="Z817" s="185"/>
      <c r="AA817" s="186"/>
      <c r="AB817" s="186"/>
      <c r="AC817" s="186"/>
      <c r="AD817" s="186"/>
      <c r="AE817" s="186"/>
      <c r="AF817" s="186"/>
      <c r="AG817" s="186"/>
      <c r="AH817" s="185"/>
      <c r="AJ817" s="186"/>
      <c r="AK817" s="186"/>
      <c r="AL817" s="186"/>
      <c r="AM817" s="187"/>
      <c r="AN817" s="186"/>
      <c r="AO817" s="186"/>
      <c r="AQ817" s="186"/>
      <c r="AR817" s="186"/>
      <c r="AS817" s="187"/>
      <c r="AU817" s="186"/>
      <c r="AV817" s="186"/>
      <c r="AW817" s="186"/>
      <c r="AX817" s="186"/>
      <c r="AY817" s="186"/>
      <c r="AZ817" s="186"/>
      <c r="BA817" s="186"/>
      <c r="BC817" s="186"/>
      <c r="BD817" s="186"/>
      <c r="BE817" s="187"/>
    </row>
    <row r="818" spans="6:57" x14ac:dyDescent="0.3">
      <c r="F818" s="185"/>
      <c r="H818" s="186"/>
      <c r="J818" s="186"/>
      <c r="K818" s="186"/>
      <c r="L818" s="186"/>
      <c r="M818" s="186"/>
      <c r="N818" s="186"/>
      <c r="O818" s="187"/>
      <c r="P818" s="186"/>
      <c r="Q818" s="186"/>
      <c r="R818" s="186"/>
      <c r="S818" s="186"/>
      <c r="T818" s="186"/>
      <c r="U818" s="186"/>
      <c r="V818" s="186"/>
      <c r="W818" s="187"/>
      <c r="X818" s="186"/>
      <c r="Y818" s="186"/>
      <c r="Z818" s="185"/>
      <c r="AA818" s="186"/>
      <c r="AB818" s="186"/>
      <c r="AC818" s="186"/>
      <c r="AD818" s="186"/>
      <c r="AE818" s="186"/>
      <c r="AF818" s="186"/>
      <c r="AG818" s="186"/>
      <c r="AH818" s="185"/>
      <c r="AJ818" s="186"/>
      <c r="AK818" s="186"/>
      <c r="AL818" s="186"/>
      <c r="AM818" s="187"/>
      <c r="AN818" s="186"/>
      <c r="AO818" s="186"/>
      <c r="AQ818" s="186"/>
      <c r="AR818" s="186"/>
      <c r="AS818" s="187"/>
      <c r="AU818" s="186"/>
      <c r="AV818" s="186"/>
      <c r="AW818" s="186"/>
      <c r="AX818" s="186"/>
      <c r="AY818" s="186"/>
      <c r="AZ818" s="186"/>
      <c r="BA818" s="186"/>
      <c r="BC818" s="186"/>
      <c r="BD818" s="186"/>
      <c r="BE818" s="187"/>
    </row>
    <row r="819" spans="6:57" x14ac:dyDescent="0.3">
      <c r="F819" s="185"/>
      <c r="H819" s="186"/>
      <c r="J819" s="186"/>
      <c r="K819" s="186"/>
      <c r="L819" s="186"/>
      <c r="M819" s="186"/>
      <c r="N819" s="186"/>
      <c r="O819" s="187"/>
      <c r="P819" s="186"/>
      <c r="Q819" s="186"/>
      <c r="R819" s="186"/>
      <c r="S819" s="186"/>
      <c r="T819" s="186"/>
      <c r="U819" s="186"/>
      <c r="V819" s="186"/>
      <c r="W819" s="187"/>
      <c r="X819" s="186"/>
      <c r="Y819" s="186"/>
      <c r="Z819" s="185"/>
      <c r="AA819" s="186"/>
      <c r="AB819" s="186"/>
      <c r="AC819" s="186"/>
      <c r="AD819" s="186"/>
      <c r="AE819" s="186"/>
      <c r="AF819" s="186"/>
      <c r="AG819" s="186"/>
      <c r="AH819" s="185"/>
      <c r="AJ819" s="186"/>
      <c r="AK819" s="186"/>
      <c r="AL819" s="186"/>
      <c r="AM819" s="187"/>
      <c r="AN819" s="186"/>
      <c r="AO819" s="186"/>
      <c r="AQ819" s="186"/>
      <c r="AR819" s="186"/>
      <c r="AS819" s="187"/>
      <c r="AU819" s="186"/>
      <c r="AV819" s="186"/>
      <c r="AW819" s="186"/>
      <c r="AX819" s="186"/>
      <c r="AY819" s="186"/>
      <c r="AZ819" s="186"/>
      <c r="BA819" s="186"/>
      <c r="BC819" s="186"/>
      <c r="BD819" s="186"/>
      <c r="BE819" s="187"/>
    </row>
    <row r="820" spans="6:57" x14ac:dyDescent="0.3">
      <c r="F820" s="185"/>
      <c r="H820" s="186"/>
      <c r="J820" s="186"/>
      <c r="K820" s="186"/>
      <c r="L820" s="186"/>
      <c r="M820" s="186"/>
      <c r="N820" s="186"/>
      <c r="O820" s="187"/>
      <c r="P820" s="186"/>
      <c r="Q820" s="186"/>
      <c r="R820" s="186"/>
      <c r="S820" s="186"/>
      <c r="T820" s="186"/>
      <c r="U820" s="186"/>
      <c r="V820" s="186"/>
      <c r="W820" s="187"/>
      <c r="X820" s="186"/>
      <c r="Y820" s="186"/>
      <c r="Z820" s="185"/>
      <c r="AA820" s="186"/>
      <c r="AB820" s="186"/>
      <c r="AC820" s="186"/>
      <c r="AD820" s="186"/>
      <c r="AE820" s="186"/>
      <c r="AF820" s="186"/>
      <c r="AG820" s="186"/>
      <c r="AH820" s="185"/>
      <c r="AJ820" s="186"/>
      <c r="AK820" s="186"/>
      <c r="AL820" s="186"/>
      <c r="AM820" s="187"/>
      <c r="AN820" s="186"/>
      <c r="AO820" s="186"/>
      <c r="AQ820" s="186"/>
      <c r="AR820" s="186"/>
      <c r="AS820" s="187"/>
      <c r="AU820" s="186"/>
      <c r="AV820" s="186"/>
      <c r="AW820" s="186"/>
      <c r="AX820" s="186"/>
      <c r="AY820" s="186"/>
      <c r="AZ820" s="186"/>
      <c r="BA820" s="186"/>
      <c r="BC820" s="186"/>
      <c r="BD820" s="186"/>
      <c r="BE820" s="187"/>
    </row>
    <row r="821" spans="6:57" x14ac:dyDescent="0.3">
      <c r="F821" s="185"/>
      <c r="H821" s="186"/>
      <c r="J821" s="186"/>
      <c r="K821" s="186"/>
      <c r="L821" s="186"/>
      <c r="M821" s="186"/>
      <c r="N821" s="186"/>
      <c r="O821" s="187"/>
      <c r="P821" s="186"/>
      <c r="Q821" s="186"/>
      <c r="R821" s="186"/>
      <c r="S821" s="186"/>
      <c r="T821" s="186"/>
      <c r="U821" s="186"/>
      <c r="V821" s="186"/>
      <c r="W821" s="187"/>
      <c r="X821" s="186"/>
      <c r="Y821" s="186"/>
      <c r="Z821" s="185"/>
      <c r="AA821" s="186"/>
      <c r="AB821" s="186"/>
      <c r="AC821" s="186"/>
      <c r="AD821" s="186"/>
      <c r="AE821" s="186"/>
      <c r="AF821" s="186"/>
      <c r="AG821" s="186"/>
      <c r="AH821" s="185"/>
      <c r="AJ821" s="186"/>
      <c r="AK821" s="186"/>
      <c r="AL821" s="186"/>
      <c r="AM821" s="187"/>
      <c r="AN821" s="186"/>
      <c r="AO821" s="186"/>
      <c r="AQ821" s="186"/>
      <c r="AR821" s="186"/>
      <c r="AS821" s="187"/>
      <c r="AU821" s="186"/>
      <c r="AV821" s="186"/>
      <c r="AW821" s="186"/>
      <c r="AX821" s="186"/>
      <c r="AY821" s="186"/>
      <c r="AZ821" s="186"/>
      <c r="BA821" s="186"/>
      <c r="BC821" s="186"/>
      <c r="BD821" s="186"/>
      <c r="BE821" s="187"/>
    </row>
    <row r="822" spans="6:57" x14ac:dyDescent="0.3">
      <c r="F822" s="185"/>
      <c r="H822" s="186"/>
      <c r="J822" s="186"/>
      <c r="K822" s="186"/>
      <c r="L822" s="186"/>
      <c r="M822" s="186"/>
      <c r="N822" s="186"/>
      <c r="O822" s="187"/>
      <c r="P822" s="186"/>
      <c r="Q822" s="186"/>
      <c r="R822" s="186"/>
      <c r="S822" s="186"/>
      <c r="T822" s="186"/>
      <c r="U822" s="186"/>
      <c r="V822" s="186"/>
      <c r="W822" s="187"/>
      <c r="X822" s="186"/>
      <c r="Y822" s="186"/>
      <c r="Z822" s="185"/>
      <c r="AA822" s="186"/>
      <c r="AB822" s="186"/>
      <c r="AC822" s="186"/>
      <c r="AD822" s="186"/>
      <c r="AE822" s="186"/>
      <c r="AF822" s="186"/>
      <c r="AG822" s="186"/>
      <c r="AH822" s="185"/>
      <c r="AJ822" s="186"/>
      <c r="AK822" s="186"/>
      <c r="AL822" s="186"/>
      <c r="AM822" s="187"/>
      <c r="AN822" s="186"/>
      <c r="AO822" s="186"/>
      <c r="AQ822" s="186"/>
      <c r="AR822" s="186"/>
      <c r="AS822" s="187"/>
      <c r="AU822" s="186"/>
      <c r="AV822" s="186"/>
      <c r="AW822" s="186"/>
      <c r="AX822" s="186"/>
      <c r="AY822" s="186"/>
      <c r="AZ822" s="186"/>
      <c r="BA822" s="186"/>
      <c r="BC822" s="186"/>
      <c r="BD822" s="186"/>
      <c r="BE822" s="187"/>
    </row>
    <row r="823" spans="6:57" x14ac:dyDescent="0.3">
      <c r="F823" s="185"/>
      <c r="H823" s="186"/>
      <c r="J823" s="186"/>
      <c r="K823" s="186"/>
      <c r="L823" s="186"/>
      <c r="M823" s="186"/>
      <c r="N823" s="186"/>
      <c r="O823" s="187"/>
      <c r="P823" s="186"/>
      <c r="Q823" s="186"/>
      <c r="R823" s="186"/>
      <c r="S823" s="186"/>
      <c r="T823" s="186"/>
      <c r="U823" s="186"/>
      <c r="V823" s="186"/>
      <c r="W823" s="187"/>
      <c r="X823" s="186"/>
      <c r="Y823" s="186"/>
      <c r="Z823" s="185"/>
      <c r="AA823" s="186"/>
      <c r="AB823" s="186"/>
      <c r="AC823" s="186"/>
      <c r="AD823" s="186"/>
      <c r="AE823" s="186"/>
      <c r="AF823" s="186"/>
      <c r="AG823" s="186"/>
      <c r="AH823" s="185"/>
      <c r="AJ823" s="186"/>
      <c r="AK823" s="186"/>
      <c r="AL823" s="186"/>
      <c r="AM823" s="187"/>
      <c r="AN823" s="186"/>
      <c r="AO823" s="186"/>
      <c r="AQ823" s="186"/>
      <c r="AR823" s="186"/>
      <c r="AS823" s="187"/>
      <c r="AU823" s="186"/>
      <c r="AV823" s="186"/>
      <c r="AW823" s="186"/>
      <c r="AX823" s="186"/>
      <c r="AY823" s="186"/>
      <c r="AZ823" s="186"/>
      <c r="BA823" s="186"/>
      <c r="BC823" s="186"/>
      <c r="BD823" s="186"/>
      <c r="BE823" s="187"/>
    </row>
    <row r="824" spans="6:57" x14ac:dyDescent="0.3">
      <c r="F824" s="185"/>
      <c r="H824" s="186"/>
      <c r="J824" s="186"/>
      <c r="K824" s="186"/>
      <c r="L824" s="186"/>
      <c r="M824" s="186"/>
      <c r="N824" s="186"/>
      <c r="O824" s="187"/>
      <c r="P824" s="186"/>
      <c r="Q824" s="186"/>
      <c r="R824" s="186"/>
      <c r="S824" s="186"/>
      <c r="T824" s="186"/>
      <c r="U824" s="186"/>
      <c r="V824" s="186"/>
      <c r="W824" s="187"/>
      <c r="X824" s="186"/>
      <c r="Y824" s="186"/>
      <c r="Z824" s="185"/>
      <c r="AA824" s="186"/>
      <c r="AB824" s="186"/>
      <c r="AC824" s="186"/>
      <c r="AD824" s="186"/>
      <c r="AE824" s="186"/>
      <c r="AF824" s="186"/>
      <c r="AG824" s="186"/>
      <c r="AH824" s="185"/>
      <c r="AJ824" s="186"/>
      <c r="AK824" s="186"/>
      <c r="AL824" s="186"/>
      <c r="AM824" s="187"/>
      <c r="AN824" s="186"/>
      <c r="AO824" s="186"/>
      <c r="AQ824" s="186"/>
      <c r="AR824" s="186"/>
      <c r="AS824" s="187"/>
      <c r="AU824" s="186"/>
      <c r="AV824" s="186"/>
      <c r="AW824" s="186"/>
      <c r="AX824" s="186"/>
      <c r="AY824" s="186"/>
      <c r="AZ824" s="186"/>
      <c r="BA824" s="186"/>
      <c r="BC824" s="186"/>
      <c r="BD824" s="186"/>
      <c r="BE824" s="187"/>
    </row>
    <row r="825" spans="6:57" x14ac:dyDescent="0.3">
      <c r="F825" s="185"/>
      <c r="H825" s="186"/>
      <c r="J825" s="186"/>
      <c r="K825" s="186"/>
      <c r="L825" s="186"/>
      <c r="M825" s="186"/>
      <c r="N825" s="186"/>
      <c r="O825" s="187"/>
      <c r="P825" s="186"/>
      <c r="Q825" s="186"/>
      <c r="R825" s="186"/>
      <c r="S825" s="186"/>
      <c r="T825" s="186"/>
      <c r="U825" s="186"/>
      <c r="V825" s="186"/>
      <c r="W825" s="187"/>
      <c r="X825" s="186"/>
      <c r="Y825" s="186"/>
      <c r="Z825" s="185"/>
      <c r="AA825" s="186"/>
      <c r="AB825" s="186"/>
      <c r="AC825" s="186"/>
      <c r="AD825" s="186"/>
      <c r="AE825" s="186"/>
      <c r="AF825" s="186"/>
      <c r="AG825" s="186"/>
      <c r="AH825" s="185"/>
      <c r="AJ825" s="186"/>
      <c r="AK825" s="186"/>
      <c r="AL825" s="186"/>
      <c r="AM825" s="187"/>
      <c r="AN825" s="186"/>
      <c r="AO825" s="186"/>
      <c r="AQ825" s="186"/>
      <c r="AR825" s="186"/>
      <c r="AS825" s="187"/>
      <c r="AU825" s="186"/>
      <c r="AV825" s="186"/>
      <c r="AW825" s="186"/>
      <c r="AX825" s="186"/>
      <c r="AY825" s="186"/>
      <c r="AZ825" s="186"/>
      <c r="BA825" s="186"/>
      <c r="BC825" s="186"/>
      <c r="BD825" s="186"/>
      <c r="BE825" s="187"/>
    </row>
    <row r="826" spans="6:57" x14ac:dyDescent="0.3">
      <c r="F826" s="185"/>
      <c r="H826" s="186"/>
      <c r="J826" s="186"/>
      <c r="K826" s="186"/>
      <c r="L826" s="186"/>
      <c r="M826" s="186"/>
      <c r="N826" s="186"/>
      <c r="O826" s="187"/>
      <c r="P826" s="186"/>
      <c r="Q826" s="186"/>
      <c r="R826" s="186"/>
      <c r="S826" s="186"/>
      <c r="T826" s="186"/>
      <c r="U826" s="186"/>
      <c r="V826" s="186"/>
      <c r="W826" s="187"/>
      <c r="X826" s="186"/>
      <c r="Y826" s="186"/>
      <c r="Z826" s="185"/>
      <c r="AA826" s="186"/>
      <c r="AB826" s="186"/>
      <c r="AC826" s="186"/>
      <c r="AD826" s="186"/>
      <c r="AE826" s="186"/>
      <c r="AF826" s="186"/>
      <c r="AG826" s="186"/>
      <c r="AH826" s="185"/>
      <c r="AJ826" s="186"/>
      <c r="AK826" s="186"/>
      <c r="AL826" s="186"/>
      <c r="AM826" s="187"/>
      <c r="AN826" s="186"/>
      <c r="AO826" s="186"/>
      <c r="AQ826" s="186"/>
      <c r="AR826" s="186"/>
      <c r="AS826" s="187"/>
      <c r="AU826" s="186"/>
      <c r="AV826" s="186"/>
      <c r="AW826" s="186"/>
      <c r="AX826" s="186"/>
      <c r="AY826" s="186"/>
      <c r="AZ826" s="186"/>
      <c r="BA826" s="186"/>
      <c r="BC826" s="186"/>
      <c r="BD826" s="186"/>
      <c r="BE826" s="187"/>
    </row>
    <row r="827" spans="6:57" x14ac:dyDescent="0.3">
      <c r="F827" s="185"/>
      <c r="H827" s="186"/>
      <c r="J827" s="186"/>
      <c r="K827" s="186"/>
      <c r="L827" s="186"/>
      <c r="M827" s="186"/>
      <c r="N827" s="186"/>
      <c r="O827" s="187"/>
      <c r="P827" s="186"/>
      <c r="Q827" s="186"/>
      <c r="R827" s="186"/>
      <c r="S827" s="186"/>
      <c r="T827" s="186"/>
      <c r="U827" s="186"/>
      <c r="V827" s="186"/>
      <c r="W827" s="187"/>
      <c r="X827" s="186"/>
      <c r="Y827" s="186"/>
      <c r="Z827" s="185"/>
      <c r="AA827" s="186"/>
      <c r="AB827" s="186"/>
      <c r="AC827" s="186"/>
      <c r="AD827" s="186"/>
      <c r="AE827" s="186"/>
      <c r="AF827" s="186"/>
      <c r="AG827" s="186"/>
      <c r="AH827" s="185"/>
      <c r="AJ827" s="186"/>
      <c r="AK827" s="186"/>
      <c r="AL827" s="186"/>
      <c r="AM827" s="187"/>
      <c r="AN827" s="186"/>
      <c r="AO827" s="186"/>
      <c r="AQ827" s="186"/>
      <c r="AR827" s="186"/>
      <c r="AS827" s="187"/>
      <c r="AU827" s="186"/>
      <c r="AV827" s="186"/>
      <c r="AW827" s="186"/>
      <c r="AX827" s="186"/>
      <c r="AY827" s="186"/>
      <c r="AZ827" s="186"/>
      <c r="BA827" s="186"/>
      <c r="BC827" s="186"/>
      <c r="BD827" s="186"/>
      <c r="BE827" s="187"/>
    </row>
    <row r="828" spans="6:57" x14ac:dyDescent="0.3">
      <c r="F828" s="185"/>
      <c r="H828" s="186"/>
      <c r="J828" s="186"/>
      <c r="K828" s="186"/>
      <c r="L828" s="186"/>
      <c r="M828" s="186"/>
      <c r="N828" s="186"/>
      <c r="O828" s="187"/>
      <c r="P828" s="186"/>
      <c r="Q828" s="186"/>
      <c r="R828" s="186"/>
      <c r="S828" s="186"/>
      <c r="T828" s="186"/>
      <c r="U828" s="186"/>
      <c r="V828" s="186"/>
      <c r="W828" s="187"/>
      <c r="X828" s="186"/>
      <c r="Y828" s="186"/>
      <c r="Z828" s="185"/>
      <c r="AA828" s="186"/>
      <c r="AB828" s="186"/>
      <c r="AC828" s="186"/>
      <c r="AD828" s="186"/>
      <c r="AE828" s="186"/>
      <c r="AF828" s="186"/>
      <c r="AG828" s="186"/>
      <c r="AH828" s="185"/>
      <c r="AJ828" s="186"/>
      <c r="AK828" s="186"/>
      <c r="AL828" s="186"/>
      <c r="AM828" s="187"/>
      <c r="AN828" s="186"/>
      <c r="AO828" s="186"/>
      <c r="AQ828" s="186"/>
      <c r="AR828" s="186"/>
      <c r="AS828" s="187"/>
      <c r="AU828" s="186"/>
      <c r="AV828" s="186"/>
      <c r="AW828" s="186"/>
      <c r="AX828" s="186"/>
      <c r="AY828" s="186"/>
      <c r="AZ828" s="186"/>
      <c r="BA828" s="186"/>
      <c r="BC828" s="186"/>
      <c r="BD828" s="186"/>
      <c r="BE828" s="187"/>
    </row>
    <row r="829" spans="6:57" x14ac:dyDescent="0.3">
      <c r="F829" s="185"/>
      <c r="H829" s="186"/>
      <c r="J829" s="186"/>
      <c r="K829" s="186"/>
      <c r="L829" s="186"/>
      <c r="M829" s="186"/>
      <c r="N829" s="186"/>
      <c r="O829" s="187"/>
      <c r="P829" s="186"/>
      <c r="Q829" s="186"/>
      <c r="R829" s="186"/>
      <c r="S829" s="186"/>
      <c r="T829" s="186"/>
      <c r="U829" s="186"/>
      <c r="V829" s="186"/>
      <c r="W829" s="187"/>
      <c r="X829" s="186"/>
      <c r="Y829" s="186"/>
      <c r="Z829" s="185"/>
      <c r="AA829" s="186"/>
      <c r="AB829" s="186"/>
      <c r="AC829" s="186"/>
      <c r="AD829" s="186"/>
      <c r="AE829" s="186"/>
      <c r="AF829" s="186"/>
      <c r="AG829" s="186"/>
      <c r="AH829" s="185"/>
      <c r="AJ829" s="186"/>
      <c r="AK829" s="186"/>
      <c r="AL829" s="186"/>
      <c r="AM829" s="187"/>
      <c r="AN829" s="186"/>
      <c r="AO829" s="186"/>
      <c r="AQ829" s="186"/>
      <c r="AR829" s="186"/>
      <c r="AS829" s="187"/>
      <c r="AU829" s="186"/>
      <c r="AV829" s="186"/>
      <c r="AW829" s="186"/>
      <c r="AX829" s="186"/>
      <c r="AY829" s="186"/>
      <c r="AZ829" s="186"/>
      <c r="BA829" s="186"/>
      <c r="BC829" s="186"/>
      <c r="BD829" s="186"/>
      <c r="BE829" s="187"/>
    </row>
    <row r="830" spans="6:57" x14ac:dyDescent="0.3">
      <c r="F830" s="185"/>
      <c r="H830" s="186"/>
      <c r="J830" s="186"/>
      <c r="K830" s="186"/>
      <c r="L830" s="186"/>
      <c r="M830" s="186"/>
      <c r="N830" s="186"/>
      <c r="O830" s="187"/>
      <c r="P830" s="186"/>
      <c r="Q830" s="186"/>
      <c r="R830" s="186"/>
      <c r="S830" s="186"/>
      <c r="T830" s="186"/>
      <c r="U830" s="186"/>
      <c r="V830" s="186"/>
      <c r="W830" s="187"/>
      <c r="X830" s="186"/>
      <c r="Y830" s="186"/>
      <c r="Z830" s="185"/>
      <c r="AA830" s="186"/>
      <c r="AB830" s="186"/>
      <c r="AC830" s="186"/>
      <c r="AD830" s="186"/>
      <c r="AE830" s="186"/>
      <c r="AF830" s="186"/>
      <c r="AG830" s="186"/>
      <c r="AH830" s="185"/>
      <c r="AJ830" s="186"/>
      <c r="AK830" s="186"/>
      <c r="AL830" s="186"/>
      <c r="AM830" s="187"/>
      <c r="AN830" s="186"/>
      <c r="AO830" s="186"/>
      <c r="AQ830" s="186"/>
      <c r="AR830" s="186"/>
      <c r="AS830" s="187"/>
      <c r="AU830" s="186"/>
      <c r="AV830" s="186"/>
      <c r="AW830" s="186"/>
      <c r="AX830" s="186"/>
      <c r="AY830" s="186"/>
      <c r="AZ830" s="186"/>
      <c r="BA830" s="186"/>
      <c r="BC830" s="186"/>
      <c r="BD830" s="186"/>
      <c r="BE830" s="187"/>
    </row>
    <row r="831" spans="6:57" x14ac:dyDescent="0.3">
      <c r="F831" s="185"/>
      <c r="H831" s="186"/>
      <c r="J831" s="186"/>
      <c r="K831" s="186"/>
      <c r="L831" s="186"/>
      <c r="M831" s="186"/>
      <c r="N831" s="186"/>
      <c r="O831" s="187"/>
      <c r="P831" s="186"/>
      <c r="Q831" s="186"/>
      <c r="R831" s="186"/>
      <c r="S831" s="186"/>
      <c r="T831" s="186"/>
      <c r="U831" s="186"/>
      <c r="V831" s="186"/>
      <c r="W831" s="187"/>
      <c r="X831" s="186"/>
      <c r="Y831" s="186"/>
      <c r="Z831" s="185"/>
      <c r="AA831" s="186"/>
      <c r="AB831" s="186"/>
      <c r="AC831" s="186"/>
      <c r="AD831" s="186"/>
      <c r="AE831" s="186"/>
      <c r="AF831" s="186"/>
      <c r="AG831" s="186"/>
      <c r="AH831" s="185"/>
      <c r="AJ831" s="186"/>
      <c r="AK831" s="186"/>
      <c r="AL831" s="186"/>
      <c r="AM831" s="187"/>
      <c r="AN831" s="186"/>
      <c r="AO831" s="186"/>
      <c r="AQ831" s="186"/>
      <c r="AR831" s="186"/>
      <c r="AS831" s="187"/>
      <c r="AU831" s="186"/>
      <c r="AV831" s="186"/>
      <c r="AW831" s="186"/>
      <c r="AX831" s="186"/>
      <c r="AY831" s="186"/>
      <c r="AZ831" s="186"/>
      <c r="BA831" s="186"/>
      <c r="BC831" s="186"/>
      <c r="BD831" s="186"/>
      <c r="BE831" s="187"/>
    </row>
    <row r="832" spans="6:57" x14ac:dyDescent="0.3">
      <c r="F832" s="185"/>
      <c r="H832" s="186"/>
      <c r="J832" s="186"/>
      <c r="K832" s="186"/>
      <c r="L832" s="186"/>
      <c r="M832" s="186"/>
      <c r="N832" s="186"/>
      <c r="O832" s="187"/>
      <c r="P832" s="186"/>
      <c r="Q832" s="186"/>
      <c r="R832" s="186"/>
      <c r="S832" s="186"/>
      <c r="T832" s="186"/>
      <c r="U832" s="186"/>
      <c r="V832" s="186"/>
      <c r="W832" s="187"/>
      <c r="X832" s="186"/>
      <c r="Y832" s="186"/>
      <c r="Z832" s="185"/>
      <c r="AA832" s="186"/>
      <c r="AB832" s="186"/>
      <c r="AC832" s="186"/>
      <c r="AD832" s="186"/>
      <c r="AE832" s="186"/>
      <c r="AF832" s="186"/>
      <c r="AG832" s="186"/>
      <c r="AH832" s="185"/>
      <c r="AJ832" s="186"/>
      <c r="AK832" s="186"/>
      <c r="AL832" s="186"/>
      <c r="AM832" s="187"/>
      <c r="AN832" s="186"/>
      <c r="AO832" s="186"/>
      <c r="AQ832" s="186"/>
      <c r="AR832" s="186"/>
      <c r="AS832" s="187"/>
      <c r="AU832" s="186"/>
      <c r="AV832" s="186"/>
      <c r="AW832" s="186"/>
      <c r="AX832" s="186"/>
      <c r="AY832" s="186"/>
      <c r="AZ832" s="186"/>
      <c r="BA832" s="186"/>
      <c r="BC832" s="186"/>
      <c r="BD832" s="186"/>
      <c r="BE832" s="187"/>
    </row>
    <row r="833" spans="6:57" x14ac:dyDescent="0.3">
      <c r="F833" s="185"/>
      <c r="H833" s="186"/>
      <c r="J833" s="186"/>
      <c r="K833" s="186"/>
      <c r="L833" s="186"/>
      <c r="M833" s="186"/>
      <c r="N833" s="186"/>
      <c r="O833" s="187"/>
      <c r="P833" s="186"/>
      <c r="Q833" s="186"/>
      <c r="R833" s="186"/>
      <c r="S833" s="186"/>
      <c r="T833" s="186"/>
      <c r="U833" s="186"/>
      <c r="V833" s="186"/>
      <c r="W833" s="187"/>
      <c r="X833" s="186"/>
      <c r="Y833" s="186"/>
      <c r="Z833" s="185"/>
      <c r="AA833" s="186"/>
      <c r="AB833" s="186"/>
      <c r="AC833" s="186"/>
      <c r="AD833" s="186"/>
      <c r="AE833" s="186"/>
      <c r="AF833" s="186"/>
      <c r="AG833" s="186"/>
      <c r="AH833" s="185"/>
      <c r="AJ833" s="186"/>
      <c r="AK833" s="186"/>
      <c r="AL833" s="186"/>
      <c r="AM833" s="187"/>
      <c r="AN833" s="186"/>
      <c r="AO833" s="186"/>
      <c r="AQ833" s="186"/>
      <c r="AR833" s="186"/>
      <c r="AS833" s="187"/>
      <c r="AU833" s="186"/>
      <c r="AV833" s="186"/>
      <c r="AW833" s="186"/>
      <c r="AX833" s="186"/>
      <c r="AY833" s="186"/>
      <c r="AZ833" s="186"/>
      <c r="BA833" s="186"/>
      <c r="BC833" s="186"/>
      <c r="BD833" s="186"/>
      <c r="BE833" s="187"/>
    </row>
    <row r="834" spans="6:57" x14ac:dyDescent="0.3">
      <c r="F834" s="185"/>
      <c r="H834" s="186"/>
      <c r="J834" s="186"/>
      <c r="K834" s="186"/>
      <c r="L834" s="186"/>
      <c r="M834" s="186"/>
      <c r="N834" s="186"/>
      <c r="O834" s="187"/>
      <c r="P834" s="186"/>
      <c r="Q834" s="186"/>
      <c r="R834" s="186"/>
      <c r="S834" s="186"/>
      <c r="T834" s="186"/>
      <c r="U834" s="186"/>
      <c r="V834" s="186"/>
      <c r="W834" s="187"/>
      <c r="X834" s="186"/>
      <c r="Y834" s="186"/>
      <c r="Z834" s="185"/>
      <c r="AA834" s="186"/>
      <c r="AB834" s="186"/>
      <c r="AC834" s="186"/>
      <c r="AD834" s="186"/>
      <c r="AE834" s="186"/>
      <c r="AF834" s="186"/>
      <c r="AG834" s="186"/>
      <c r="AH834" s="185"/>
      <c r="AJ834" s="186"/>
      <c r="AK834" s="186"/>
      <c r="AL834" s="186"/>
      <c r="AM834" s="187"/>
      <c r="AN834" s="186"/>
      <c r="AO834" s="186"/>
      <c r="AQ834" s="186"/>
      <c r="AR834" s="186"/>
      <c r="AS834" s="187"/>
      <c r="AU834" s="186"/>
      <c r="AV834" s="186"/>
      <c r="AW834" s="186"/>
      <c r="AX834" s="186"/>
      <c r="AY834" s="186"/>
      <c r="AZ834" s="186"/>
      <c r="BA834" s="186"/>
      <c r="BC834" s="186"/>
      <c r="BD834" s="186"/>
      <c r="BE834" s="187"/>
    </row>
    <row r="835" spans="6:57" x14ac:dyDescent="0.3">
      <c r="F835" s="185"/>
      <c r="H835" s="186"/>
      <c r="J835" s="186"/>
      <c r="K835" s="186"/>
      <c r="L835" s="186"/>
      <c r="M835" s="186"/>
      <c r="N835" s="186"/>
      <c r="O835" s="187"/>
      <c r="P835" s="186"/>
      <c r="Q835" s="186"/>
      <c r="R835" s="186"/>
      <c r="S835" s="186"/>
      <c r="T835" s="186"/>
      <c r="U835" s="186"/>
      <c r="V835" s="186"/>
      <c r="W835" s="187"/>
      <c r="X835" s="186"/>
      <c r="Y835" s="186"/>
      <c r="Z835" s="185"/>
      <c r="AA835" s="186"/>
      <c r="AB835" s="186"/>
      <c r="AC835" s="186"/>
      <c r="AD835" s="186"/>
      <c r="AE835" s="186"/>
      <c r="AF835" s="186"/>
      <c r="AG835" s="186"/>
      <c r="AH835" s="185"/>
      <c r="AJ835" s="186"/>
      <c r="AK835" s="186"/>
      <c r="AL835" s="186"/>
      <c r="AM835" s="187"/>
      <c r="AN835" s="186"/>
      <c r="AO835" s="186"/>
      <c r="AQ835" s="186"/>
      <c r="AR835" s="186"/>
      <c r="AS835" s="187"/>
      <c r="AU835" s="186"/>
      <c r="AV835" s="186"/>
      <c r="AW835" s="186"/>
      <c r="AX835" s="186"/>
      <c r="AY835" s="186"/>
      <c r="AZ835" s="186"/>
      <c r="BA835" s="186"/>
      <c r="BC835" s="186"/>
      <c r="BD835" s="186"/>
      <c r="BE835" s="187"/>
    </row>
    <row r="836" spans="6:57" x14ac:dyDescent="0.3">
      <c r="F836" s="185"/>
      <c r="H836" s="186"/>
      <c r="J836" s="186"/>
      <c r="K836" s="186"/>
      <c r="L836" s="186"/>
      <c r="M836" s="186"/>
      <c r="N836" s="186"/>
      <c r="O836" s="187"/>
      <c r="P836" s="186"/>
      <c r="Q836" s="186"/>
      <c r="R836" s="186"/>
      <c r="S836" s="186"/>
      <c r="T836" s="186"/>
      <c r="U836" s="186"/>
      <c r="V836" s="186"/>
      <c r="W836" s="187"/>
      <c r="X836" s="186"/>
      <c r="Y836" s="186"/>
      <c r="Z836" s="185"/>
      <c r="AA836" s="186"/>
      <c r="AB836" s="186"/>
      <c r="AC836" s="186"/>
      <c r="AD836" s="186"/>
      <c r="AE836" s="186"/>
      <c r="AF836" s="186"/>
      <c r="AG836" s="186"/>
      <c r="AH836" s="185"/>
      <c r="AJ836" s="186"/>
      <c r="AK836" s="186"/>
      <c r="AL836" s="186"/>
      <c r="AM836" s="187"/>
      <c r="AN836" s="186"/>
      <c r="AO836" s="186"/>
      <c r="AQ836" s="186"/>
      <c r="AR836" s="186"/>
      <c r="AS836" s="187"/>
      <c r="AU836" s="186"/>
      <c r="AV836" s="186"/>
      <c r="AW836" s="186"/>
      <c r="AX836" s="186"/>
      <c r="AY836" s="186"/>
      <c r="AZ836" s="186"/>
      <c r="BA836" s="186"/>
      <c r="BC836" s="186"/>
      <c r="BD836" s="186"/>
      <c r="BE836" s="187"/>
    </row>
    <row r="837" spans="6:57" x14ac:dyDescent="0.3">
      <c r="F837" s="185"/>
      <c r="H837" s="186"/>
      <c r="J837" s="186"/>
      <c r="K837" s="186"/>
      <c r="L837" s="186"/>
      <c r="M837" s="186"/>
      <c r="N837" s="186"/>
      <c r="O837" s="187"/>
      <c r="P837" s="186"/>
      <c r="Q837" s="186"/>
      <c r="R837" s="186"/>
      <c r="S837" s="186"/>
      <c r="T837" s="186"/>
      <c r="U837" s="186"/>
      <c r="V837" s="186"/>
      <c r="W837" s="187"/>
      <c r="X837" s="186"/>
      <c r="Y837" s="186"/>
      <c r="Z837" s="185"/>
      <c r="AA837" s="186"/>
      <c r="AB837" s="186"/>
      <c r="AC837" s="186"/>
      <c r="AD837" s="186"/>
      <c r="AE837" s="186"/>
      <c r="AF837" s="186"/>
      <c r="AG837" s="186"/>
      <c r="AH837" s="185"/>
      <c r="AJ837" s="186"/>
      <c r="AK837" s="186"/>
      <c r="AL837" s="186"/>
      <c r="AM837" s="187"/>
      <c r="AN837" s="186"/>
      <c r="AO837" s="186"/>
      <c r="AQ837" s="186"/>
      <c r="AR837" s="186"/>
      <c r="AS837" s="187"/>
      <c r="AU837" s="186"/>
      <c r="AV837" s="186"/>
      <c r="AW837" s="186"/>
      <c r="AX837" s="186"/>
      <c r="AY837" s="186"/>
      <c r="AZ837" s="186"/>
      <c r="BA837" s="186"/>
      <c r="BC837" s="186"/>
      <c r="BD837" s="186"/>
      <c r="BE837" s="187"/>
    </row>
    <row r="838" spans="6:57" x14ac:dyDescent="0.3">
      <c r="F838" s="185"/>
      <c r="H838" s="186"/>
      <c r="J838" s="186"/>
      <c r="K838" s="186"/>
      <c r="L838" s="186"/>
      <c r="M838" s="186"/>
      <c r="N838" s="186"/>
      <c r="O838" s="187"/>
      <c r="P838" s="186"/>
      <c r="Q838" s="186"/>
      <c r="R838" s="186"/>
      <c r="S838" s="186"/>
      <c r="T838" s="186"/>
      <c r="U838" s="186"/>
      <c r="V838" s="186"/>
      <c r="W838" s="187"/>
      <c r="X838" s="186"/>
      <c r="Y838" s="186"/>
      <c r="Z838" s="185"/>
      <c r="AA838" s="186"/>
      <c r="AB838" s="186"/>
      <c r="AC838" s="186"/>
      <c r="AD838" s="186"/>
      <c r="AE838" s="186"/>
      <c r="AF838" s="186"/>
      <c r="AG838" s="186"/>
      <c r="AH838" s="185"/>
      <c r="AJ838" s="186"/>
      <c r="AK838" s="186"/>
      <c r="AL838" s="186"/>
      <c r="AM838" s="187"/>
      <c r="AN838" s="186"/>
      <c r="AO838" s="186"/>
      <c r="AQ838" s="186"/>
      <c r="AR838" s="186"/>
      <c r="AS838" s="187"/>
      <c r="AU838" s="186"/>
      <c r="AV838" s="186"/>
      <c r="AW838" s="186"/>
      <c r="AX838" s="186"/>
      <c r="AY838" s="186"/>
      <c r="AZ838" s="186"/>
      <c r="BA838" s="186"/>
      <c r="BC838" s="186"/>
      <c r="BD838" s="186"/>
      <c r="BE838" s="187"/>
    </row>
    <row r="839" spans="6:57" x14ac:dyDescent="0.3">
      <c r="F839" s="185"/>
      <c r="H839" s="186"/>
      <c r="J839" s="186"/>
      <c r="K839" s="186"/>
      <c r="L839" s="186"/>
      <c r="M839" s="186"/>
      <c r="N839" s="186"/>
      <c r="O839" s="187"/>
      <c r="P839" s="186"/>
      <c r="Q839" s="186"/>
      <c r="R839" s="186"/>
      <c r="S839" s="186"/>
      <c r="T839" s="186"/>
      <c r="U839" s="186"/>
      <c r="V839" s="186"/>
      <c r="W839" s="187"/>
      <c r="X839" s="186"/>
      <c r="Y839" s="186"/>
      <c r="Z839" s="185"/>
      <c r="AA839" s="186"/>
      <c r="AB839" s="186"/>
      <c r="AC839" s="186"/>
      <c r="AD839" s="186"/>
      <c r="AE839" s="186"/>
      <c r="AF839" s="186"/>
      <c r="AG839" s="186"/>
      <c r="AH839" s="185"/>
      <c r="AJ839" s="186"/>
      <c r="AK839" s="186"/>
      <c r="AL839" s="186"/>
      <c r="AM839" s="187"/>
      <c r="AN839" s="186"/>
      <c r="AO839" s="186"/>
      <c r="AQ839" s="186"/>
      <c r="AR839" s="186"/>
      <c r="AS839" s="187"/>
      <c r="AU839" s="186"/>
      <c r="AV839" s="186"/>
      <c r="AW839" s="186"/>
      <c r="AX839" s="186"/>
      <c r="AY839" s="186"/>
      <c r="AZ839" s="186"/>
      <c r="BA839" s="186"/>
      <c r="BC839" s="186"/>
      <c r="BD839" s="186"/>
      <c r="BE839" s="187"/>
    </row>
    <row r="840" spans="6:57" x14ac:dyDescent="0.3">
      <c r="F840" s="185"/>
      <c r="H840" s="186"/>
      <c r="J840" s="186"/>
      <c r="K840" s="186"/>
      <c r="L840" s="186"/>
      <c r="M840" s="186"/>
      <c r="N840" s="186"/>
      <c r="O840" s="187"/>
      <c r="P840" s="186"/>
      <c r="Q840" s="186"/>
      <c r="R840" s="186"/>
      <c r="S840" s="186"/>
      <c r="T840" s="186"/>
      <c r="U840" s="186"/>
      <c r="V840" s="186"/>
      <c r="W840" s="187"/>
      <c r="X840" s="186"/>
      <c r="Y840" s="186"/>
      <c r="Z840" s="185"/>
      <c r="AA840" s="186"/>
      <c r="AB840" s="186"/>
      <c r="AC840" s="186"/>
      <c r="AD840" s="186"/>
      <c r="AE840" s="186"/>
      <c r="AF840" s="186"/>
      <c r="AG840" s="186"/>
      <c r="AH840" s="185"/>
      <c r="AJ840" s="186"/>
      <c r="AK840" s="186"/>
      <c r="AL840" s="186"/>
      <c r="AM840" s="187"/>
      <c r="AN840" s="186"/>
      <c r="AO840" s="186"/>
      <c r="AQ840" s="186"/>
      <c r="AR840" s="186"/>
      <c r="AS840" s="187"/>
      <c r="AU840" s="186"/>
      <c r="AV840" s="186"/>
      <c r="AW840" s="186"/>
      <c r="AX840" s="186"/>
      <c r="AY840" s="186"/>
      <c r="AZ840" s="186"/>
      <c r="BA840" s="186"/>
      <c r="BC840" s="186"/>
      <c r="BD840" s="186"/>
      <c r="BE840" s="187"/>
    </row>
    <row r="841" spans="6:57" x14ac:dyDescent="0.3">
      <c r="F841" s="185"/>
      <c r="H841" s="186"/>
      <c r="J841" s="186"/>
      <c r="K841" s="186"/>
      <c r="L841" s="186"/>
      <c r="M841" s="186"/>
      <c r="N841" s="186"/>
      <c r="O841" s="187"/>
      <c r="P841" s="186"/>
      <c r="Q841" s="186"/>
      <c r="R841" s="186"/>
      <c r="S841" s="186"/>
      <c r="T841" s="186"/>
      <c r="U841" s="186"/>
      <c r="V841" s="186"/>
      <c r="W841" s="187"/>
      <c r="X841" s="186"/>
      <c r="Y841" s="186"/>
      <c r="Z841" s="185"/>
      <c r="AA841" s="186"/>
      <c r="AB841" s="186"/>
      <c r="AC841" s="186"/>
      <c r="AD841" s="186"/>
      <c r="AE841" s="186"/>
      <c r="AF841" s="186"/>
      <c r="AG841" s="186"/>
      <c r="AH841" s="185"/>
      <c r="AJ841" s="186"/>
      <c r="AK841" s="186"/>
      <c r="AL841" s="186"/>
      <c r="AM841" s="187"/>
      <c r="AN841" s="186"/>
      <c r="AO841" s="186"/>
      <c r="AQ841" s="186"/>
      <c r="AR841" s="186"/>
      <c r="AS841" s="187"/>
      <c r="AU841" s="186"/>
      <c r="AV841" s="186"/>
      <c r="AW841" s="186"/>
      <c r="AX841" s="186"/>
      <c r="AY841" s="186"/>
      <c r="AZ841" s="186"/>
      <c r="BA841" s="186"/>
      <c r="BC841" s="186"/>
      <c r="BD841" s="186"/>
      <c r="BE841" s="187"/>
    </row>
    <row r="842" spans="6:57" x14ac:dyDescent="0.3">
      <c r="F842" s="185"/>
      <c r="H842" s="186"/>
      <c r="J842" s="186"/>
      <c r="K842" s="186"/>
      <c r="L842" s="186"/>
      <c r="M842" s="186"/>
      <c r="N842" s="186"/>
      <c r="O842" s="187"/>
      <c r="P842" s="186"/>
      <c r="Q842" s="186"/>
      <c r="R842" s="186"/>
      <c r="S842" s="186"/>
      <c r="T842" s="186"/>
      <c r="U842" s="186"/>
      <c r="V842" s="186"/>
      <c r="W842" s="187"/>
      <c r="X842" s="186"/>
      <c r="Y842" s="186"/>
      <c r="Z842" s="185"/>
      <c r="AA842" s="186"/>
      <c r="AB842" s="186"/>
      <c r="AC842" s="186"/>
      <c r="AD842" s="186"/>
      <c r="AE842" s="186"/>
      <c r="AF842" s="186"/>
      <c r="AG842" s="186"/>
      <c r="AH842" s="185"/>
      <c r="AJ842" s="186"/>
      <c r="AK842" s="186"/>
      <c r="AL842" s="186"/>
      <c r="AM842" s="187"/>
      <c r="AN842" s="186"/>
      <c r="AO842" s="186"/>
      <c r="AQ842" s="186"/>
      <c r="AR842" s="186"/>
      <c r="AS842" s="187"/>
      <c r="AU842" s="186"/>
      <c r="AV842" s="186"/>
      <c r="AW842" s="186"/>
      <c r="AX842" s="186"/>
      <c r="AY842" s="186"/>
      <c r="AZ842" s="186"/>
      <c r="BA842" s="186"/>
      <c r="BC842" s="186"/>
      <c r="BD842" s="186"/>
      <c r="BE842" s="187"/>
    </row>
    <row r="843" spans="6:57" x14ac:dyDescent="0.3">
      <c r="F843" s="185"/>
      <c r="H843" s="186"/>
      <c r="J843" s="186"/>
      <c r="K843" s="186"/>
      <c r="L843" s="186"/>
      <c r="M843" s="186"/>
      <c r="N843" s="186"/>
      <c r="O843" s="187"/>
      <c r="P843" s="186"/>
      <c r="Q843" s="186"/>
      <c r="R843" s="186"/>
      <c r="S843" s="186"/>
      <c r="T843" s="186"/>
      <c r="U843" s="186"/>
      <c r="V843" s="186"/>
      <c r="W843" s="187"/>
      <c r="X843" s="186"/>
      <c r="Y843" s="186"/>
      <c r="Z843" s="185"/>
      <c r="AA843" s="186"/>
      <c r="AB843" s="186"/>
      <c r="AC843" s="186"/>
      <c r="AD843" s="186"/>
      <c r="AE843" s="186"/>
      <c r="AF843" s="186"/>
      <c r="AG843" s="186"/>
      <c r="AH843" s="185"/>
      <c r="AJ843" s="186"/>
      <c r="AK843" s="186"/>
      <c r="AL843" s="186"/>
      <c r="AM843" s="187"/>
      <c r="AN843" s="186"/>
      <c r="AO843" s="186"/>
      <c r="AQ843" s="186"/>
      <c r="AR843" s="186"/>
      <c r="AS843" s="187"/>
      <c r="AU843" s="186"/>
      <c r="AV843" s="186"/>
      <c r="AW843" s="186"/>
      <c r="AX843" s="186"/>
      <c r="AY843" s="186"/>
      <c r="AZ843" s="186"/>
      <c r="BA843" s="186"/>
      <c r="BC843" s="186"/>
      <c r="BD843" s="186"/>
      <c r="BE843" s="187"/>
    </row>
    <row r="844" spans="6:57" x14ac:dyDescent="0.3">
      <c r="F844" s="185"/>
      <c r="H844" s="186"/>
      <c r="J844" s="186"/>
      <c r="K844" s="186"/>
      <c r="L844" s="186"/>
      <c r="M844" s="186"/>
      <c r="N844" s="186"/>
      <c r="O844" s="187"/>
      <c r="P844" s="186"/>
      <c r="Q844" s="186"/>
      <c r="R844" s="186"/>
      <c r="S844" s="186"/>
      <c r="T844" s="186"/>
      <c r="U844" s="186"/>
      <c r="V844" s="186"/>
      <c r="W844" s="187"/>
      <c r="X844" s="186"/>
      <c r="Y844" s="186"/>
      <c r="Z844" s="185"/>
      <c r="AA844" s="186"/>
      <c r="AB844" s="186"/>
      <c r="AC844" s="186"/>
      <c r="AD844" s="186"/>
      <c r="AE844" s="186"/>
      <c r="AF844" s="186"/>
      <c r="AG844" s="186"/>
      <c r="AH844" s="185"/>
      <c r="AJ844" s="186"/>
      <c r="AK844" s="186"/>
      <c r="AL844" s="186"/>
      <c r="AM844" s="187"/>
      <c r="AN844" s="186"/>
      <c r="AO844" s="186"/>
      <c r="AQ844" s="186"/>
      <c r="AR844" s="186"/>
      <c r="AS844" s="187"/>
      <c r="AU844" s="186"/>
      <c r="AV844" s="186"/>
      <c r="AW844" s="186"/>
      <c r="AX844" s="186"/>
      <c r="AY844" s="186"/>
      <c r="AZ844" s="186"/>
      <c r="BA844" s="186"/>
      <c r="BC844" s="186"/>
      <c r="BD844" s="186"/>
      <c r="BE844" s="187"/>
    </row>
    <row r="845" spans="6:57" x14ac:dyDescent="0.3">
      <c r="F845" s="185"/>
      <c r="H845" s="186"/>
      <c r="J845" s="186"/>
      <c r="K845" s="186"/>
      <c r="L845" s="186"/>
      <c r="M845" s="186"/>
      <c r="N845" s="186"/>
      <c r="O845" s="187"/>
      <c r="P845" s="186"/>
      <c r="Q845" s="186"/>
      <c r="R845" s="186"/>
      <c r="S845" s="186"/>
      <c r="T845" s="186"/>
      <c r="U845" s="186"/>
      <c r="V845" s="186"/>
      <c r="W845" s="187"/>
      <c r="X845" s="186"/>
      <c r="Y845" s="186"/>
      <c r="Z845" s="185"/>
      <c r="AA845" s="186"/>
      <c r="AB845" s="186"/>
      <c r="AC845" s="186"/>
      <c r="AD845" s="186"/>
      <c r="AE845" s="186"/>
      <c r="AF845" s="186"/>
      <c r="AG845" s="186"/>
      <c r="AH845" s="185"/>
      <c r="AJ845" s="186"/>
      <c r="AK845" s="186"/>
      <c r="AL845" s="186"/>
      <c r="AM845" s="187"/>
      <c r="AN845" s="186"/>
      <c r="AO845" s="186"/>
      <c r="AQ845" s="186"/>
      <c r="AR845" s="186"/>
      <c r="AS845" s="187"/>
      <c r="AU845" s="186"/>
      <c r="AV845" s="186"/>
      <c r="AW845" s="186"/>
      <c r="AX845" s="186"/>
      <c r="AY845" s="186"/>
      <c r="AZ845" s="186"/>
      <c r="BA845" s="186"/>
      <c r="BC845" s="186"/>
      <c r="BD845" s="186"/>
      <c r="BE845" s="187"/>
    </row>
    <row r="846" spans="6:57" x14ac:dyDescent="0.3">
      <c r="F846" s="185"/>
      <c r="H846" s="186"/>
      <c r="J846" s="186"/>
      <c r="K846" s="186"/>
      <c r="L846" s="186"/>
      <c r="M846" s="186"/>
      <c r="N846" s="186"/>
      <c r="O846" s="187"/>
      <c r="P846" s="186"/>
      <c r="Q846" s="186"/>
      <c r="R846" s="186"/>
      <c r="S846" s="186"/>
      <c r="T846" s="186"/>
      <c r="U846" s="186"/>
      <c r="V846" s="186"/>
      <c r="W846" s="187"/>
      <c r="X846" s="186"/>
      <c r="Y846" s="186"/>
      <c r="Z846" s="185"/>
      <c r="AA846" s="186"/>
      <c r="AB846" s="186"/>
      <c r="AC846" s="186"/>
      <c r="AD846" s="186"/>
      <c r="AE846" s="186"/>
      <c r="AF846" s="186"/>
      <c r="AG846" s="186"/>
      <c r="AH846" s="185"/>
      <c r="AJ846" s="186"/>
      <c r="AK846" s="186"/>
      <c r="AL846" s="186"/>
      <c r="AM846" s="187"/>
      <c r="AN846" s="186"/>
      <c r="AO846" s="186"/>
      <c r="AQ846" s="186"/>
      <c r="AR846" s="186"/>
      <c r="AS846" s="187"/>
      <c r="AU846" s="186"/>
      <c r="AV846" s="186"/>
      <c r="AW846" s="186"/>
      <c r="AX846" s="186"/>
      <c r="AY846" s="186"/>
      <c r="AZ846" s="186"/>
      <c r="BA846" s="186"/>
      <c r="BC846" s="186"/>
      <c r="BD846" s="186"/>
      <c r="BE846" s="187"/>
    </row>
    <row r="847" spans="6:57" x14ac:dyDescent="0.3">
      <c r="F847" s="185"/>
      <c r="H847" s="186"/>
      <c r="J847" s="186"/>
      <c r="K847" s="186"/>
      <c r="L847" s="186"/>
      <c r="M847" s="186"/>
      <c r="N847" s="186"/>
      <c r="O847" s="187"/>
      <c r="P847" s="186"/>
      <c r="Q847" s="186"/>
      <c r="R847" s="186"/>
      <c r="S847" s="186"/>
      <c r="T847" s="186"/>
      <c r="U847" s="186"/>
      <c r="V847" s="186"/>
      <c r="W847" s="187"/>
      <c r="X847" s="186"/>
      <c r="Y847" s="186"/>
      <c r="Z847" s="185"/>
      <c r="AA847" s="186"/>
      <c r="AB847" s="186"/>
      <c r="AC847" s="186"/>
      <c r="AD847" s="186"/>
      <c r="AE847" s="186"/>
      <c r="AF847" s="186"/>
      <c r="AG847" s="186"/>
      <c r="AH847" s="185"/>
      <c r="AJ847" s="186"/>
      <c r="AK847" s="186"/>
      <c r="AL847" s="186"/>
      <c r="AM847" s="187"/>
      <c r="AN847" s="186"/>
      <c r="AO847" s="186"/>
      <c r="AQ847" s="186"/>
      <c r="AR847" s="186"/>
      <c r="AS847" s="187"/>
      <c r="AU847" s="186"/>
      <c r="AV847" s="186"/>
      <c r="AW847" s="186"/>
      <c r="AX847" s="186"/>
      <c r="AY847" s="186"/>
      <c r="AZ847" s="186"/>
      <c r="BA847" s="186"/>
      <c r="BC847" s="186"/>
      <c r="BD847" s="186"/>
      <c r="BE847" s="187"/>
    </row>
    <row r="848" spans="6:57" x14ac:dyDescent="0.3">
      <c r="F848" s="185"/>
      <c r="H848" s="186"/>
      <c r="J848" s="186"/>
      <c r="K848" s="186"/>
      <c r="L848" s="186"/>
      <c r="M848" s="186"/>
      <c r="N848" s="186"/>
      <c r="O848" s="187"/>
      <c r="P848" s="186"/>
      <c r="Q848" s="186"/>
      <c r="R848" s="186"/>
      <c r="S848" s="186"/>
      <c r="T848" s="186"/>
      <c r="U848" s="186"/>
      <c r="V848" s="186"/>
      <c r="W848" s="187"/>
      <c r="X848" s="186"/>
      <c r="Y848" s="186"/>
      <c r="Z848" s="185"/>
      <c r="AA848" s="186"/>
      <c r="AB848" s="186"/>
      <c r="AC848" s="186"/>
      <c r="AD848" s="186"/>
      <c r="AE848" s="186"/>
      <c r="AF848" s="186"/>
      <c r="AG848" s="186"/>
      <c r="AH848" s="185"/>
      <c r="AJ848" s="186"/>
      <c r="AK848" s="186"/>
      <c r="AL848" s="186"/>
      <c r="AM848" s="187"/>
      <c r="AN848" s="186"/>
      <c r="AO848" s="186"/>
      <c r="AQ848" s="186"/>
      <c r="AR848" s="186"/>
      <c r="AS848" s="187"/>
      <c r="AU848" s="186"/>
      <c r="AV848" s="186"/>
      <c r="AW848" s="186"/>
      <c r="AX848" s="186"/>
      <c r="AY848" s="186"/>
      <c r="AZ848" s="186"/>
      <c r="BA848" s="186"/>
      <c r="BC848" s="186"/>
      <c r="BD848" s="186"/>
      <c r="BE848" s="187"/>
    </row>
    <row r="849" spans="6:57" x14ac:dyDescent="0.3">
      <c r="F849" s="185"/>
      <c r="H849" s="186"/>
      <c r="J849" s="186"/>
      <c r="K849" s="186"/>
      <c r="L849" s="186"/>
      <c r="M849" s="186"/>
      <c r="N849" s="186"/>
      <c r="O849" s="187"/>
      <c r="P849" s="186"/>
      <c r="Q849" s="186"/>
      <c r="R849" s="186"/>
      <c r="S849" s="186"/>
      <c r="T849" s="186"/>
      <c r="U849" s="186"/>
      <c r="V849" s="186"/>
      <c r="W849" s="187"/>
      <c r="X849" s="186"/>
      <c r="Y849" s="186"/>
      <c r="Z849" s="185"/>
      <c r="AA849" s="186"/>
      <c r="AB849" s="186"/>
      <c r="AC849" s="186"/>
      <c r="AD849" s="186"/>
      <c r="AE849" s="186"/>
      <c r="AF849" s="186"/>
      <c r="AG849" s="186"/>
      <c r="AH849" s="185"/>
      <c r="AJ849" s="186"/>
      <c r="AK849" s="186"/>
      <c r="AL849" s="186"/>
      <c r="AM849" s="187"/>
      <c r="AN849" s="186"/>
      <c r="AO849" s="186"/>
      <c r="AQ849" s="186"/>
      <c r="AR849" s="186"/>
      <c r="AS849" s="187"/>
      <c r="AU849" s="186"/>
      <c r="AV849" s="186"/>
      <c r="AW849" s="186"/>
      <c r="AX849" s="186"/>
      <c r="AY849" s="186"/>
      <c r="AZ849" s="186"/>
      <c r="BA849" s="186"/>
      <c r="BC849" s="186"/>
      <c r="BD849" s="186"/>
      <c r="BE849" s="187"/>
    </row>
    <row r="850" spans="6:57" x14ac:dyDescent="0.3">
      <c r="F850" s="185"/>
      <c r="H850" s="186"/>
      <c r="J850" s="186"/>
      <c r="K850" s="186"/>
      <c r="L850" s="186"/>
      <c r="M850" s="186"/>
      <c r="N850" s="186"/>
      <c r="O850" s="187"/>
      <c r="P850" s="186"/>
      <c r="Q850" s="186"/>
      <c r="R850" s="186"/>
      <c r="S850" s="186"/>
      <c r="T850" s="186"/>
      <c r="U850" s="186"/>
      <c r="V850" s="186"/>
      <c r="W850" s="187"/>
      <c r="X850" s="186"/>
      <c r="Y850" s="186"/>
      <c r="Z850" s="185"/>
      <c r="AA850" s="186"/>
      <c r="AB850" s="186"/>
      <c r="AC850" s="186"/>
      <c r="AD850" s="186"/>
      <c r="AE850" s="186"/>
      <c r="AF850" s="186"/>
      <c r="AG850" s="186"/>
      <c r="AH850" s="185"/>
      <c r="AJ850" s="186"/>
      <c r="AK850" s="186"/>
      <c r="AL850" s="186"/>
      <c r="AM850" s="187"/>
      <c r="AN850" s="186"/>
      <c r="AO850" s="186"/>
      <c r="AQ850" s="186"/>
      <c r="AR850" s="186"/>
      <c r="AS850" s="187"/>
      <c r="AU850" s="186"/>
      <c r="AV850" s="186"/>
      <c r="AW850" s="186"/>
      <c r="AX850" s="186"/>
      <c r="AY850" s="186"/>
      <c r="AZ850" s="186"/>
      <c r="BA850" s="186"/>
      <c r="BC850" s="186"/>
      <c r="BD850" s="186"/>
      <c r="BE850" s="187"/>
    </row>
    <row r="851" spans="6:57" x14ac:dyDescent="0.3">
      <c r="F851" s="185"/>
      <c r="H851" s="186"/>
      <c r="J851" s="186"/>
      <c r="K851" s="186"/>
      <c r="L851" s="186"/>
      <c r="M851" s="186"/>
      <c r="N851" s="186"/>
      <c r="O851" s="187"/>
      <c r="P851" s="186"/>
      <c r="Q851" s="186"/>
      <c r="R851" s="186"/>
      <c r="S851" s="186"/>
      <c r="T851" s="186"/>
      <c r="U851" s="186"/>
      <c r="V851" s="186"/>
      <c r="W851" s="187"/>
      <c r="X851" s="186"/>
      <c r="Y851" s="186"/>
      <c r="Z851" s="185"/>
      <c r="AA851" s="186"/>
      <c r="AB851" s="186"/>
      <c r="AC851" s="186"/>
      <c r="AD851" s="186"/>
      <c r="AE851" s="186"/>
      <c r="AF851" s="186"/>
      <c r="AG851" s="186"/>
      <c r="AH851" s="185"/>
      <c r="AJ851" s="186"/>
      <c r="AK851" s="186"/>
      <c r="AL851" s="186"/>
      <c r="AM851" s="187"/>
      <c r="AN851" s="186"/>
      <c r="AO851" s="186"/>
      <c r="AQ851" s="186"/>
      <c r="AR851" s="186"/>
      <c r="AS851" s="187"/>
      <c r="AU851" s="186"/>
      <c r="AV851" s="186"/>
      <c r="AW851" s="186"/>
      <c r="AX851" s="186"/>
      <c r="AY851" s="186"/>
      <c r="AZ851" s="186"/>
      <c r="BA851" s="186"/>
      <c r="BC851" s="186"/>
      <c r="BD851" s="186"/>
      <c r="BE851" s="187"/>
    </row>
    <row r="852" spans="6:57" x14ac:dyDescent="0.3">
      <c r="F852" s="185"/>
      <c r="H852" s="186"/>
      <c r="J852" s="186"/>
      <c r="K852" s="186"/>
      <c r="L852" s="186"/>
      <c r="M852" s="186"/>
      <c r="N852" s="186"/>
      <c r="O852" s="187"/>
      <c r="P852" s="186"/>
      <c r="Q852" s="186"/>
      <c r="R852" s="186"/>
      <c r="S852" s="186"/>
      <c r="T852" s="186"/>
      <c r="U852" s="186"/>
      <c r="V852" s="186"/>
      <c r="W852" s="187"/>
      <c r="X852" s="186"/>
      <c r="Y852" s="186"/>
      <c r="Z852" s="185"/>
      <c r="AA852" s="186"/>
      <c r="AB852" s="186"/>
      <c r="AC852" s="186"/>
      <c r="AD852" s="186"/>
      <c r="AE852" s="186"/>
      <c r="AF852" s="186"/>
      <c r="AG852" s="186"/>
      <c r="AH852" s="185"/>
      <c r="AJ852" s="186"/>
      <c r="AK852" s="186"/>
      <c r="AL852" s="186"/>
      <c r="AM852" s="187"/>
      <c r="AN852" s="186"/>
      <c r="AO852" s="186"/>
      <c r="AQ852" s="186"/>
      <c r="AR852" s="186"/>
      <c r="AS852" s="187"/>
      <c r="AU852" s="186"/>
      <c r="AV852" s="186"/>
      <c r="AW852" s="186"/>
      <c r="AX852" s="186"/>
      <c r="AY852" s="186"/>
      <c r="AZ852" s="186"/>
      <c r="BA852" s="186"/>
      <c r="BC852" s="186"/>
      <c r="BD852" s="186"/>
      <c r="BE852" s="187"/>
    </row>
    <row r="853" spans="6:57" x14ac:dyDescent="0.3">
      <c r="F853" s="185"/>
      <c r="H853" s="186"/>
      <c r="J853" s="186"/>
      <c r="K853" s="186"/>
      <c r="L853" s="186"/>
      <c r="M853" s="186"/>
      <c r="N853" s="186"/>
      <c r="O853" s="187"/>
      <c r="P853" s="186"/>
      <c r="Q853" s="186"/>
      <c r="R853" s="186"/>
      <c r="S853" s="186"/>
      <c r="T853" s="186"/>
      <c r="U853" s="186"/>
      <c r="V853" s="186"/>
      <c r="W853" s="187"/>
      <c r="X853" s="186"/>
      <c r="Y853" s="186"/>
      <c r="Z853" s="185"/>
      <c r="AA853" s="186"/>
      <c r="AB853" s="186"/>
      <c r="AC853" s="186"/>
      <c r="AD853" s="186"/>
      <c r="AE853" s="186"/>
      <c r="AF853" s="186"/>
      <c r="AG853" s="186"/>
      <c r="AH853" s="185"/>
      <c r="AJ853" s="186"/>
      <c r="AK853" s="186"/>
      <c r="AL853" s="186"/>
      <c r="AM853" s="187"/>
      <c r="AN853" s="186"/>
      <c r="AO853" s="186"/>
      <c r="AQ853" s="186"/>
      <c r="AR853" s="186"/>
      <c r="AS853" s="187"/>
      <c r="AU853" s="186"/>
      <c r="AV853" s="186"/>
      <c r="AW853" s="186"/>
      <c r="AX853" s="186"/>
      <c r="AY853" s="186"/>
      <c r="AZ853" s="186"/>
      <c r="BA853" s="186"/>
      <c r="BC853" s="186"/>
      <c r="BD853" s="186"/>
      <c r="BE853" s="187"/>
    </row>
    <row r="854" spans="6:57" x14ac:dyDescent="0.3">
      <c r="F854" s="185"/>
      <c r="H854" s="186"/>
      <c r="J854" s="186"/>
      <c r="K854" s="186"/>
      <c r="L854" s="186"/>
      <c r="M854" s="186"/>
      <c r="N854" s="186"/>
      <c r="O854" s="187"/>
      <c r="P854" s="186"/>
      <c r="Q854" s="186"/>
      <c r="R854" s="186"/>
      <c r="S854" s="186"/>
      <c r="T854" s="186"/>
      <c r="U854" s="186"/>
      <c r="V854" s="186"/>
      <c r="W854" s="187"/>
      <c r="X854" s="186"/>
      <c r="Y854" s="186"/>
      <c r="Z854" s="185"/>
      <c r="AA854" s="186"/>
      <c r="AB854" s="186"/>
      <c r="AC854" s="186"/>
      <c r="AD854" s="186"/>
      <c r="AE854" s="186"/>
      <c r="AF854" s="186"/>
      <c r="AG854" s="186"/>
      <c r="AH854" s="185"/>
      <c r="AJ854" s="186"/>
      <c r="AK854" s="186"/>
      <c r="AL854" s="186"/>
      <c r="AM854" s="187"/>
      <c r="AN854" s="186"/>
      <c r="AO854" s="186"/>
      <c r="AQ854" s="186"/>
      <c r="AR854" s="186"/>
      <c r="AS854" s="187"/>
      <c r="AU854" s="186"/>
      <c r="AV854" s="186"/>
      <c r="AW854" s="186"/>
      <c r="AX854" s="186"/>
      <c r="AY854" s="186"/>
      <c r="AZ854" s="186"/>
      <c r="BA854" s="186"/>
      <c r="BC854" s="186"/>
      <c r="BD854" s="186"/>
      <c r="BE854" s="187"/>
    </row>
    <row r="855" spans="6:57" x14ac:dyDescent="0.3">
      <c r="F855" s="185"/>
      <c r="H855" s="186"/>
      <c r="J855" s="186"/>
      <c r="K855" s="186"/>
      <c r="L855" s="186"/>
      <c r="M855" s="186"/>
      <c r="N855" s="186"/>
      <c r="O855" s="187"/>
      <c r="P855" s="186"/>
      <c r="Q855" s="186"/>
      <c r="R855" s="186"/>
      <c r="S855" s="186"/>
      <c r="T855" s="186"/>
      <c r="U855" s="186"/>
      <c r="V855" s="186"/>
      <c r="W855" s="187"/>
      <c r="X855" s="186"/>
      <c r="Y855" s="186"/>
      <c r="Z855" s="185"/>
      <c r="AA855" s="186"/>
      <c r="AB855" s="186"/>
      <c r="AC855" s="186"/>
      <c r="AD855" s="186"/>
      <c r="AE855" s="186"/>
      <c r="AF855" s="186"/>
      <c r="AG855" s="186"/>
      <c r="AH855" s="185"/>
      <c r="AJ855" s="186"/>
      <c r="AK855" s="186"/>
      <c r="AL855" s="186"/>
      <c r="AM855" s="187"/>
      <c r="AN855" s="186"/>
      <c r="AO855" s="186"/>
      <c r="AQ855" s="186"/>
      <c r="AR855" s="186"/>
      <c r="AS855" s="187"/>
      <c r="AU855" s="186"/>
      <c r="AV855" s="186"/>
      <c r="AW855" s="186"/>
      <c r="AX855" s="186"/>
      <c r="AY855" s="186"/>
      <c r="AZ855" s="186"/>
      <c r="BA855" s="186"/>
      <c r="BC855" s="186"/>
      <c r="BD855" s="186"/>
      <c r="BE855" s="187"/>
    </row>
    <row r="856" spans="6:57" x14ac:dyDescent="0.3">
      <c r="F856" s="185"/>
      <c r="H856" s="186"/>
      <c r="J856" s="186"/>
      <c r="K856" s="186"/>
      <c r="L856" s="186"/>
      <c r="M856" s="186"/>
      <c r="N856" s="186"/>
      <c r="O856" s="187"/>
      <c r="P856" s="186"/>
      <c r="Q856" s="186"/>
      <c r="R856" s="186"/>
      <c r="S856" s="186"/>
      <c r="T856" s="186"/>
      <c r="U856" s="186"/>
      <c r="V856" s="186"/>
      <c r="W856" s="187"/>
      <c r="X856" s="186"/>
      <c r="Y856" s="186"/>
      <c r="Z856" s="185"/>
      <c r="AA856" s="186"/>
      <c r="AB856" s="186"/>
      <c r="AC856" s="186"/>
      <c r="AD856" s="186"/>
      <c r="AE856" s="186"/>
      <c r="AF856" s="186"/>
      <c r="AG856" s="186"/>
      <c r="AH856" s="185"/>
      <c r="AJ856" s="186"/>
      <c r="AK856" s="186"/>
      <c r="AL856" s="186"/>
      <c r="AM856" s="187"/>
      <c r="AN856" s="186"/>
      <c r="AO856" s="186"/>
      <c r="AQ856" s="186"/>
      <c r="AR856" s="186"/>
      <c r="AS856" s="187"/>
      <c r="AU856" s="186"/>
      <c r="AV856" s="186"/>
      <c r="AW856" s="186"/>
      <c r="AX856" s="186"/>
      <c r="AY856" s="186"/>
      <c r="AZ856" s="186"/>
      <c r="BA856" s="186"/>
      <c r="BC856" s="186"/>
      <c r="BD856" s="186"/>
      <c r="BE856" s="187"/>
    </row>
    <row r="857" spans="6:57" x14ac:dyDescent="0.3">
      <c r="F857" s="185"/>
      <c r="H857" s="186"/>
      <c r="J857" s="186"/>
      <c r="K857" s="186"/>
      <c r="L857" s="186"/>
      <c r="M857" s="186"/>
      <c r="N857" s="186"/>
      <c r="O857" s="187"/>
      <c r="P857" s="186"/>
      <c r="Q857" s="186"/>
      <c r="R857" s="186"/>
      <c r="S857" s="186"/>
      <c r="T857" s="186"/>
      <c r="U857" s="186"/>
      <c r="V857" s="186"/>
      <c r="W857" s="187"/>
      <c r="X857" s="186"/>
      <c r="Y857" s="186"/>
      <c r="Z857" s="185"/>
      <c r="AA857" s="186"/>
      <c r="AB857" s="186"/>
      <c r="AC857" s="186"/>
      <c r="AD857" s="186"/>
      <c r="AE857" s="186"/>
      <c r="AF857" s="186"/>
      <c r="AG857" s="186"/>
      <c r="AH857" s="185"/>
      <c r="AJ857" s="186"/>
      <c r="AK857" s="186"/>
      <c r="AL857" s="186"/>
      <c r="AM857" s="187"/>
      <c r="AN857" s="186"/>
      <c r="AO857" s="186"/>
      <c r="AQ857" s="186"/>
      <c r="AR857" s="186"/>
      <c r="AS857" s="187"/>
      <c r="AU857" s="186"/>
      <c r="AV857" s="186"/>
      <c r="AW857" s="186"/>
      <c r="AX857" s="186"/>
      <c r="AY857" s="186"/>
      <c r="AZ857" s="186"/>
      <c r="BA857" s="186"/>
      <c r="BC857" s="186"/>
      <c r="BD857" s="186"/>
      <c r="BE857" s="187"/>
    </row>
    <row r="858" spans="6:57" x14ac:dyDescent="0.3">
      <c r="F858" s="185"/>
      <c r="H858" s="186"/>
      <c r="J858" s="186"/>
      <c r="K858" s="186"/>
      <c r="L858" s="186"/>
      <c r="M858" s="186"/>
      <c r="N858" s="186"/>
      <c r="O858" s="187"/>
      <c r="P858" s="186"/>
      <c r="Q858" s="186"/>
      <c r="R858" s="186"/>
      <c r="S858" s="186"/>
      <c r="T858" s="186"/>
      <c r="U858" s="186"/>
      <c r="V858" s="186"/>
      <c r="W858" s="187"/>
      <c r="X858" s="186"/>
      <c r="Y858" s="186"/>
      <c r="Z858" s="185"/>
      <c r="AA858" s="186"/>
      <c r="AB858" s="186"/>
      <c r="AC858" s="186"/>
      <c r="AD858" s="186"/>
      <c r="AE858" s="186"/>
      <c r="AF858" s="186"/>
      <c r="AG858" s="186"/>
      <c r="AH858" s="185"/>
      <c r="AJ858" s="186"/>
      <c r="AK858" s="186"/>
      <c r="AL858" s="186"/>
      <c r="AM858" s="187"/>
      <c r="AN858" s="186"/>
      <c r="AO858" s="186"/>
      <c r="AQ858" s="186"/>
      <c r="AR858" s="186"/>
      <c r="AS858" s="187"/>
      <c r="AU858" s="186"/>
      <c r="AV858" s="186"/>
      <c r="AW858" s="186"/>
      <c r="AX858" s="186"/>
      <c r="AY858" s="186"/>
      <c r="AZ858" s="186"/>
      <c r="BA858" s="186"/>
      <c r="BC858" s="186"/>
      <c r="BD858" s="186"/>
      <c r="BE858" s="187"/>
    </row>
    <row r="859" spans="6:57" x14ac:dyDescent="0.3">
      <c r="F859" s="185"/>
      <c r="H859" s="186"/>
      <c r="J859" s="186"/>
      <c r="K859" s="186"/>
      <c r="L859" s="186"/>
      <c r="M859" s="186"/>
      <c r="N859" s="186"/>
      <c r="O859" s="187"/>
      <c r="P859" s="186"/>
      <c r="Q859" s="186"/>
      <c r="R859" s="186"/>
      <c r="S859" s="186"/>
      <c r="T859" s="186"/>
      <c r="U859" s="186"/>
      <c r="V859" s="186"/>
      <c r="W859" s="187"/>
      <c r="X859" s="186"/>
      <c r="Y859" s="186"/>
      <c r="Z859" s="185"/>
      <c r="AA859" s="186"/>
      <c r="AB859" s="186"/>
      <c r="AC859" s="186"/>
      <c r="AD859" s="186"/>
      <c r="AE859" s="186"/>
      <c r="AF859" s="186"/>
      <c r="AG859" s="186"/>
      <c r="AH859" s="185"/>
      <c r="AJ859" s="186"/>
      <c r="AK859" s="186"/>
      <c r="AL859" s="186"/>
      <c r="AM859" s="187"/>
      <c r="AN859" s="186"/>
      <c r="AO859" s="186"/>
      <c r="AQ859" s="186"/>
      <c r="AR859" s="186"/>
      <c r="AS859" s="187"/>
      <c r="AU859" s="186"/>
      <c r="AV859" s="186"/>
      <c r="AW859" s="186"/>
      <c r="AX859" s="186"/>
      <c r="AY859" s="186"/>
      <c r="AZ859" s="186"/>
      <c r="BA859" s="186"/>
      <c r="BC859" s="186"/>
      <c r="BD859" s="186"/>
      <c r="BE859" s="187"/>
    </row>
    <row r="860" spans="6:57" x14ac:dyDescent="0.3">
      <c r="F860" s="185"/>
      <c r="H860" s="186"/>
      <c r="J860" s="186"/>
      <c r="K860" s="186"/>
      <c r="L860" s="186"/>
      <c r="M860" s="186"/>
      <c r="N860" s="186"/>
      <c r="O860" s="187"/>
      <c r="P860" s="186"/>
      <c r="Q860" s="186"/>
      <c r="R860" s="186"/>
      <c r="S860" s="186"/>
      <c r="T860" s="186"/>
      <c r="U860" s="186"/>
      <c r="V860" s="186"/>
      <c r="W860" s="187"/>
      <c r="X860" s="186"/>
      <c r="Y860" s="186"/>
      <c r="Z860" s="185"/>
      <c r="AA860" s="186"/>
      <c r="AB860" s="186"/>
      <c r="AC860" s="186"/>
      <c r="AD860" s="186"/>
      <c r="AE860" s="186"/>
      <c r="AF860" s="186"/>
      <c r="AG860" s="186"/>
      <c r="AH860" s="185"/>
      <c r="AJ860" s="186"/>
      <c r="AK860" s="186"/>
      <c r="AL860" s="186"/>
      <c r="AM860" s="187"/>
      <c r="AN860" s="186"/>
      <c r="AO860" s="186"/>
      <c r="AQ860" s="186"/>
      <c r="AR860" s="186"/>
      <c r="AS860" s="187"/>
      <c r="AU860" s="186"/>
      <c r="AV860" s="186"/>
      <c r="AW860" s="186"/>
      <c r="AX860" s="186"/>
      <c r="AY860" s="186"/>
      <c r="AZ860" s="186"/>
      <c r="BA860" s="186"/>
      <c r="BC860" s="186"/>
      <c r="BD860" s="186"/>
      <c r="BE860" s="187"/>
    </row>
    <row r="861" spans="6:57" x14ac:dyDescent="0.3">
      <c r="F861" s="185"/>
      <c r="H861" s="186"/>
      <c r="J861" s="186"/>
      <c r="K861" s="186"/>
      <c r="L861" s="186"/>
      <c r="M861" s="186"/>
      <c r="N861" s="186"/>
      <c r="O861" s="187"/>
      <c r="P861" s="186"/>
      <c r="Q861" s="186"/>
      <c r="R861" s="186"/>
      <c r="S861" s="186"/>
      <c r="T861" s="186"/>
      <c r="U861" s="186"/>
      <c r="V861" s="186"/>
      <c r="W861" s="187"/>
      <c r="X861" s="186"/>
      <c r="Y861" s="186"/>
      <c r="Z861" s="185"/>
      <c r="AA861" s="186"/>
      <c r="AB861" s="186"/>
      <c r="AC861" s="186"/>
      <c r="AD861" s="186"/>
      <c r="AE861" s="186"/>
      <c r="AF861" s="186"/>
      <c r="AG861" s="186"/>
      <c r="AH861" s="185"/>
      <c r="AJ861" s="186"/>
      <c r="AK861" s="186"/>
      <c r="AL861" s="186"/>
      <c r="AM861" s="187"/>
      <c r="AN861" s="186"/>
      <c r="AO861" s="186"/>
      <c r="AQ861" s="186"/>
      <c r="AR861" s="186"/>
      <c r="AS861" s="187"/>
      <c r="AU861" s="186"/>
      <c r="AV861" s="186"/>
      <c r="AW861" s="186"/>
      <c r="AX861" s="186"/>
      <c r="AY861" s="186"/>
      <c r="AZ861" s="186"/>
      <c r="BA861" s="186"/>
      <c r="BC861" s="186"/>
      <c r="BD861" s="186"/>
      <c r="BE861" s="187"/>
    </row>
    <row r="862" spans="6:57" x14ac:dyDescent="0.3">
      <c r="F862" s="185"/>
      <c r="H862" s="186"/>
      <c r="J862" s="186"/>
      <c r="K862" s="186"/>
      <c r="L862" s="186"/>
      <c r="M862" s="186"/>
      <c r="N862" s="186"/>
      <c r="O862" s="187"/>
      <c r="P862" s="186"/>
      <c r="Q862" s="186"/>
      <c r="R862" s="186"/>
      <c r="S862" s="186"/>
      <c r="T862" s="186"/>
      <c r="U862" s="186"/>
      <c r="V862" s="186"/>
      <c r="W862" s="187"/>
      <c r="X862" s="186"/>
      <c r="Y862" s="186"/>
      <c r="Z862" s="185"/>
      <c r="AA862" s="186"/>
      <c r="AB862" s="186"/>
      <c r="AC862" s="186"/>
      <c r="AD862" s="186"/>
      <c r="AE862" s="186"/>
      <c r="AF862" s="186"/>
      <c r="AG862" s="186"/>
      <c r="AH862" s="185"/>
      <c r="AJ862" s="186"/>
      <c r="AK862" s="186"/>
      <c r="AL862" s="186"/>
      <c r="AM862" s="187"/>
      <c r="AN862" s="186"/>
      <c r="AO862" s="186"/>
      <c r="AQ862" s="186"/>
      <c r="AR862" s="186"/>
      <c r="AS862" s="187"/>
      <c r="AU862" s="186"/>
      <c r="AV862" s="186"/>
      <c r="AW862" s="186"/>
      <c r="AX862" s="186"/>
      <c r="AY862" s="186"/>
      <c r="AZ862" s="186"/>
      <c r="BA862" s="186"/>
      <c r="BC862" s="186"/>
      <c r="BD862" s="186"/>
      <c r="BE862" s="187"/>
    </row>
    <row r="863" spans="6:57" x14ac:dyDescent="0.3">
      <c r="F863" s="185"/>
      <c r="H863" s="186"/>
      <c r="J863" s="186"/>
      <c r="K863" s="186"/>
      <c r="L863" s="186"/>
      <c r="M863" s="186"/>
      <c r="N863" s="186"/>
      <c r="O863" s="187"/>
      <c r="P863" s="186"/>
      <c r="Q863" s="186"/>
      <c r="R863" s="186"/>
      <c r="S863" s="186"/>
      <c r="T863" s="186"/>
      <c r="U863" s="186"/>
      <c r="V863" s="186"/>
      <c r="W863" s="187"/>
      <c r="X863" s="186"/>
      <c r="Y863" s="186"/>
      <c r="Z863" s="185"/>
      <c r="AA863" s="186"/>
      <c r="AB863" s="186"/>
      <c r="AC863" s="186"/>
      <c r="AD863" s="186"/>
      <c r="AE863" s="186"/>
      <c r="AF863" s="186"/>
      <c r="AG863" s="186"/>
      <c r="AH863" s="185"/>
      <c r="AJ863" s="186"/>
      <c r="AK863" s="186"/>
      <c r="AL863" s="186"/>
      <c r="AM863" s="187"/>
      <c r="AN863" s="186"/>
      <c r="AO863" s="186"/>
      <c r="AQ863" s="186"/>
      <c r="AR863" s="186"/>
      <c r="AS863" s="187"/>
      <c r="AU863" s="186"/>
      <c r="AV863" s="186"/>
      <c r="AW863" s="186"/>
      <c r="AX863" s="186"/>
      <c r="AY863" s="186"/>
      <c r="AZ863" s="186"/>
      <c r="BA863" s="186"/>
      <c r="BC863" s="186"/>
      <c r="BD863" s="186"/>
      <c r="BE863" s="187"/>
    </row>
    <row r="864" spans="6:57" x14ac:dyDescent="0.3">
      <c r="F864" s="185"/>
      <c r="H864" s="186"/>
      <c r="J864" s="186"/>
      <c r="K864" s="186"/>
      <c r="L864" s="186"/>
      <c r="M864" s="186"/>
      <c r="N864" s="186"/>
      <c r="O864" s="187"/>
      <c r="P864" s="186"/>
      <c r="Q864" s="186"/>
      <c r="R864" s="186"/>
      <c r="S864" s="186"/>
      <c r="T864" s="186"/>
      <c r="U864" s="186"/>
      <c r="V864" s="186"/>
      <c r="W864" s="187"/>
      <c r="X864" s="186"/>
      <c r="Y864" s="186"/>
      <c r="Z864" s="185"/>
      <c r="AA864" s="186"/>
      <c r="AB864" s="186"/>
      <c r="AC864" s="186"/>
      <c r="AD864" s="186"/>
      <c r="AE864" s="186"/>
      <c r="AF864" s="186"/>
      <c r="AG864" s="186"/>
      <c r="AH864" s="185"/>
      <c r="AJ864" s="186"/>
      <c r="AK864" s="186"/>
      <c r="AL864" s="186"/>
      <c r="AM864" s="187"/>
      <c r="AN864" s="186"/>
      <c r="AO864" s="186"/>
      <c r="AQ864" s="186"/>
      <c r="AR864" s="186"/>
      <c r="AS864" s="187"/>
      <c r="AU864" s="186"/>
      <c r="AV864" s="186"/>
      <c r="AW864" s="186"/>
      <c r="AX864" s="186"/>
      <c r="AY864" s="186"/>
      <c r="AZ864" s="186"/>
      <c r="BA864" s="186"/>
      <c r="BC864" s="186"/>
      <c r="BD864" s="186"/>
      <c r="BE864" s="187"/>
    </row>
    <row r="865" spans="6:57" x14ac:dyDescent="0.3">
      <c r="F865" s="185"/>
      <c r="H865" s="186"/>
      <c r="J865" s="186"/>
      <c r="K865" s="186"/>
      <c r="L865" s="186"/>
      <c r="M865" s="186"/>
      <c r="N865" s="186"/>
      <c r="O865" s="187"/>
      <c r="P865" s="186"/>
      <c r="Q865" s="186"/>
      <c r="R865" s="186"/>
      <c r="S865" s="186"/>
      <c r="T865" s="186"/>
      <c r="U865" s="186"/>
      <c r="V865" s="186"/>
      <c r="W865" s="187"/>
      <c r="X865" s="186"/>
      <c r="Y865" s="186"/>
      <c r="Z865" s="185"/>
      <c r="AA865" s="186"/>
      <c r="AB865" s="186"/>
      <c r="AC865" s="186"/>
      <c r="AD865" s="186"/>
      <c r="AE865" s="186"/>
      <c r="AF865" s="186"/>
      <c r="AG865" s="186"/>
      <c r="AH865" s="185"/>
      <c r="AJ865" s="186"/>
      <c r="AK865" s="186"/>
      <c r="AL865" s="186"/>
      <c r="AM865" s="187"/>
      <c r="AN865" s="186"/>
      <c r="AO865" s="186"/>
      <c r="AQ865" s="186"/>
      <c r="AR865" s="186"/>
      <c r="AS865" s="187"/>
      <c r="AU865" s="186"/>
      <c r="AV865" s="186"/>
      <c r="AW865" s="186"/>
      <c r="AX865" s="186"/>
      <c r="AY865" s="186"/>
      <c r="AZ865" s="186"/>
      <c r="BA865" s="186"/>
      <c r="BC865" s="186"/>
      <c r="BD865" s="186"/>
      <c r="BE865" s="187"/>
    </row>
    <row r="866" spans="6:57" x14ac:dyDescent="0.3">
      <c r="F866" s="185"/>
      <c r="H866" s="186"/>
      <c r="J866" s="186"/>
      <c r="K866" s="186"/>
      <c r="L866" s="186"/>
      <c r="M866" s="186"/>
      <c r="N866" s="186"/>
      <c r="O866" s="187"/>
      <c r="P866" s="186"/>
      <c r="Q866" s="186"/>
      <c r="R866" s="186"/>
      <c r="S866" s="186"/>
      <c r="T866" s="186"/>
      <c r="U866" s="186"/>
      <c r="V866" s="186"/>
      <c r="W866" s="187"/>
      <c r="X866" s="186"/>
      <c r="Y866" s="186"/>
      <c r="Z866" s="185"/>
      <c r="AA866" s="186"/>
      <c r="AB866" s="186"/>
      <c r="AC866" s="186"/>
      <c r="AD866" s="186"/>
      <c r="AE866" s="186"/>
      <c r="AF866" s="186"/>
      <c r="AG866" s="186"/>
      <c r="AH866" s="185"/>
      <c r="AJ866" s="186"/>
      <c r="AK866" s="186"/>
      <c r="AL866" s="186"/>
      <c r="AM866" s="187"/>
      <c r="AN866" s="186"/>
      <c r="AO866" s="186"/>
      <c r="AQ866" s="186"/>
      <c r="AR866" s="186"/>
      <c r="AS866" s="187"/>
      <c r="AU866" s="186"/>
      <c r="AV866" s="186"/>
      <c r="AW866" s="186"/>
      <c r="AX866" s="186"/>
      <c r="AY866" s="186"/>
      <c r="AZ866" s="186"/>
      <c r="BA866" s="186"/>
      <c r="BC866" s="186"/>
      <c r="BD866" s="186"/>
      <c r="BE866" s="187"/>
    </row>
    <row r="867" spans="6:57" x14ac:dyDescent="0.3">
      <c r="F867" s="185"/>
      <c r="H867" s="186"/>
      <c r="J867" s="186"/>
      <c r="K867" s="186"/>
      <c r="L867" s="186"/>
      <c r="M867" s="186"/>
      <c r="N867" s="186"/>
      <c r="O867" s="187"/>
      <c r="P867" s="186"/>
      <c r="Q867" s="186"/>
      <c r="R867" s="186"/>
      <c r="S867" s="186"/>
      <c r="T867" s="186"/>
      <c r="U867" s="186"/>
      <c r="V867" s="186"/>
      <c r="W867" s="187"/>
      <c r="X867" s="186"/>
      <c r="Y867" s="186"/>
      <c r="Z867" s="185"/>
      <c r="AA867" s="186"/>
      <c r="AB867" s="186"/>
      <c r="AC867" s="186"/>
      <c r="AD867" s="186"/>
      <c r="AE867" s="186"/>
      <c r="AF867" s="186"/>
      <c r="AG867" s="186"/>
      <c r="AH867" s="185"/>
      <c r="AJ867" s="186"/>
      <c r="AK867" s="186"/>
      <c r="AL867" s="186"/>
      <c r="AM867" s="187"/>
      <c r="AN867" s="186"/>
      <c r="AO867" s="186"/>
      <c r="AQ867" s="186"/>
      <c r="AR867" s="186"/>
      <c r="AS867" s="187"/>
      <c r="AU867" s="186"/>
      <c r="AV867" s="186"/>
      <c r="AW867" s="186"/>
      <c r="AX867" s="186"/>
      <c r="AY867" s="186"/>
      <c r="AZ867" s="186"/>
      <c r="BA867" s="186"/>
      <c r="BC867" s="186"/>
      <c r="BD867" s="186"/>
      <c r="BE867" s="187"/>
    </row>
    <row r="868" spans="6:57" x14ac:dyDescent="0.3">
      <c r="F868" s="185"/>
      <c r="H868" s="186"/>
      <c r="J868" s="186"/>
      <c r="K868" s="186"/>
      <c r="L868" s="186"/>
      <c r="M868" s="186"/>
      <c r="N868" s="186"/>
      <c r="O868" s="187"/>
      <c r="P868" s="186"/>
      <c r="Q868" s="186"/>
      <c r="R868" s="186"/>
      <c r="S868" s="186"/>
      <c r="T868" s="186"/>
      <c r="U868" s="186"/>
      <c r="V868" s="186"/>
      <c r="W868" s="187"/>
      <c r="X868" s="186"/>
      <c r="Y868" s="186"/>
      <c r="Z868" s="185"/>
      <c r="AA868" s="186"/>
      <c r="AB868" s="186"/>
      <c r="AC868" s="186"/>
      <c r="AD868" s="186"/>
      <c r="AE868" s="186"/>
      <c r="AF868" s="186"/>
      <c r="AG868" s="186"/>
      <c r="AH868" s="185"/>
      <c r="AJ868" s="186"/>
      <c r="AK868" s="186"/>
      <c r="AL868" s="186"/>
      <c r="AM868" s="187"/>
      <c r="AN868" s="186"/>
      <c r="AO868" s="186"/>
      <c r="AQ868" s="186"/>
      <c r="AR868" s="186"/>
      <c r="AS868" s="187"/>
      <c r="AU868" s="186"/>
      <c r="AV868" s="186"/>
      <c r="AW868" s="186"/>
      <c r="AX868" s="186"/>
      <c r="AY868" s="186"/>
      <c r="AZ868" s="186"/>
      <c r="BA868" s="186"/>
      <c r="BC868" s="186"/>
      <c r="BD868" s="186"/>
      <c r="BE868" s="187"/>
    </row>
    <row r="869" spans="6:57" x14ac:dyDescent="0.3">
      <c r="F869" s="185"/>
      <c r="H869" s="186"/>
      <c r="J869" s="186"/>
      <c r="K869" s="186"/>
      <c r="L869" s="186"/>
      <c r="M869" s="186"/>
      <c r="N869" s="186"/>
      <c r="O869" s="187"/>
      <c r="P869" s="186"/>
      <c r="Q869" s="186"/>
      <c r="R869" s="186"/>
      <c r="S869" s="186"/>
      <c r="T869" s="186"/>
      <c r="U869" s="186"/>
      <c r="V869" s="186"/>
      <c r="W869" s="187"/>
      <c r="X869" s="186"/>
      <c r="Y869" s="186"/>
      <c r="Z869" s="185"/>
      <c r="AA869" s="186"/>
      <c r="AB869" s="186"/>
      <c r="AC869" s="186"/>
      <c r="AD869" s="186"/>
      <c r="AE869" s="186"/>
      <c r="AF869" s="186"/>
      <c r="AG869" s="186"/>
      <c r="AH869" s="185"/>
      <c r="AJ869" s="186"/>
      <c r="AK869" s="186"/>
      <c r="AL869" s="186"/>
      <c r="AM869" s="187"/>
      <c r="AN869" s="186"/>
      <c r="AO869" s="186"/>
      <c r="AQ869" s="186"/>
      <c r="AR869" s="186"/>
      <c r="AS869" s="187"/>
      <c r="AU869" s="186"/>
      <c r="AV869" s="186"/>
      <c r="AW869" s="186"/>
      <c r="AX869" s="186"/>
      <c r="AY869" s="186"/>
      <c r="AZ869" s="186"/>
      <c r="BA869" s="186"/>
      <c r="BC869" s="186"/>
      <c r="BD869" s="186"/>
      <c r="BE869" s="187"/>
    </row>
    <row r="870" spans="6:57" x14ac:dyDescent="0.3">
      <c r="F870" s="185"/>
      <c r="H870" s="186"/>
      <c r="J870" s="186"/>
      <c r="K870" s="186"/>
      <c r="L870" s="186"/>
      <c r="M870" s="186"/>
      <c r="N870" s="186"/>
      <c r="O870" s="187"/>
      <c r="P870" s="186"/>
      <c r="Q870" s="186"/>
      <c r="R870" s="186"/>
      <c r="S870" s="186"/>
      <c r="T870" s="186"/>
      <c r="U870" s="186"/>
      <c r="V870" s="186"/>
      <c r="W870" s="187"/>
      <c r="X870" s="186"/>
      <c r="Y870" s="186"/>
      <c r="Z870" s="185"/>
      <c r="AA870" s="186"/>
      <c r="AB870" s="186"/>
      <c r="AC870" s="186"/>
      <c r="AD870" s="186"/>
      <c r="AE870" s="186"/>
      <c r="AF870" s="186"/>
      <c r="AG870" s="186"/>
      <c r="AH870" s="185"/>
      <c r="AJ870" s="186"/>
      <c r="AK870" s="186"/>
      <c r="AL870" s="186"/>
      <c r="AM870" s="187"/>
      <c r="AN870" s="186"/>
      <c r="AO870" s="186"/>
      <c r="AQ870" s="186"/>
      <c r="AR870" s="186"/>
      <c r="AS870" s="187"/>
      <c r="AU870" s="186"/>
      <c r="AV870" s="186"/>
      <c r="AW870" s="186"/>
      <c r="AX870" s="186"/>
      <c r="AY870" s="186"/>
      <c r="AZ870" s="186"/>
      <c r="BA870" s="186"/>
      <c r="BC870" s="186"/>
      <c r="BD870" s="186"/>
      <c r="BE870" s="187"/>
    </row>
    <row r="871" spans="6:57" x14ac:dyDescent="0.3">
      <c r="F871" s="185"/>
      <c r="H871" s="186"/>
      <c r="J871" s="186"/>
      <c r="K871" s="186"/>
      <c r="L871" s="186"/>
      <c r="M871" s="186"/>
      <c r="N871" s="186"/>
      <c r="O871" s="187"/>
      <c r="P871" s="186"/>
      <c r="Q871" s="186"/>
      <c r="R871" s="186"/>
      <c r="S871" s="186"/>
      <c r="T871" s="186"/>
      <c r="U871" s="186"/>
      <c r="V871" s="186"/>
      <c r="W871" s="187"/>
      <c r="X871" s="186"/>
      <c r="Y871" s="186"/>
      <c r="Z871" s="185"/>
      <c r="AA871" s="186"/>
      <c r="AB871" s="186"/>
      <c r="AC871" s="186"/>
      <c r="AD871" s="186"/>
      <c r="AE871" s="186"/>
      <c r="AF871" s="186"/>
      <c r="AG871" s="186"/>
      <c r="AH871" s="185"/>
      <c r="AJ871" s="186"/>
      <c r="AK871" s="186"/>
      <c r="AL871" s="186"/>
      <c r="AM871" s="187"/>
      <c r="AN871" s="186"/>
      <c r="AO871" s="186"/>
      <c r="AQ871" s="186"/>
      <c r="AR871" s="186"/>
      <c r="AS871" s="187"/>
      <c r="AU871" s="186"/>
      <c r="AV871" s="186"/>
      <c r="AW871" s="186"/>
      <c r="AX871" s="186"/>
      <c r="AY871" s="186"/>
      <c r="AZ871" s="186"/>
      <c r="BA871" s="186"/>
      <c r="BC871" s="186"/>
      <c r="BD871" s="186"/>
      <c r="BE871" s="187"/>
    </row>
    <row r="872" spans="6:57" x14ac:dyDescent="0.3">
      <c r="F872" s="185"/>
      <c r="H872" s="186"/>
      <c r="J872" s="186"/>
      <c r="K872" s="186"/>
      <c r="L872" s="186"/>
      <c r="M872" s="186"/>
      <c r="N872" s="186"/>
      <c r="O872" s="187"/>
      <c r="P872" s="186"/>
      <c r="Q872" s="186"/>
      <c r="R872" s="186"/>
      <c r="S872" s="186"/>
      <c r="T872" s="186"/>
      <c r="U872" s="186"/>
      <c r="V872" s="186"/>
      <c r="W872" s="187"/>
      <c r="X872" s="186"/>
      <c r="Y872" s="186"/>
      <c r="Z872" s="185"/>
      <c r="AA872" s="186"/>
      <c r="AB872" s="186"/>
      <c r="AC872" s="186"/>
      <c r="AD872" s="186"/>
      <c r="AE872" s="186"/>
      <c r="AF872" s="186"/>
      <c r="AG872" s="186"/>
      <c r="AH872" s="185"/>
      <c r="AJ872" s="186"/>
      <c r="AK872" s="186"/>
      <c r="AL872" s="186"/>
      <c r="AM872" s="187"/>
      <c r="AN872" s="186"/>
      <c r="AO872" s="186"/>
      <c r="AQ872" s="186"/>
      <c r="AR872" s="186"/>
      <c r="AS872" s="187"/>
      <c r="AU872" s="186"/>
      <c r="AV872" s="186"/>
      <c r="AW872" s="186"/>
      <c r="AX872" s="186"/>
      <c r="AY872" s="186"/>
      <c r="AZ872" s="186"/>
      <c r="BA872" s="186"/>
      <c r="BC872" s="186"/>
      <c r="BD872" s="186"/>
      <c r="BE872" s="187"/>
    </row>
    <row r="873" spans="6:57" x14ac:dyDescent="0.3">
      <c r="F873" s="185"/>
      <c r="H873" s="186"/>
      <c r="J873" s="186"/>
      <c r="K873" s="186"/>
      <c r="L873" s="186"/>
      <c r="M873" s="186"/>
      <c r="N873" s="186"/>
      <c r="O873" s="187"/>
      <c r="P873" s="186"/>
      <c r="Q873" s="186"/>
      <c r="R873" s="186"/>
      <c r="S873" s="186"/>
      <c r="T873" s="186"/>
      <c r="U873" s="186"/>
      <c r="V873" s="186"/>
      <c r="W873" s="187"/>
      <c r="X873" s="186"/>
      <c r="Y873" s="186"/>
      <c r="Z873" s="185"/>
      <c r="AA873" s="186"/>
      <c r="AB873" s="186"/>
      <c r="AC873" s="186"/>
      <c r="AD873" s="186"/>
      <c r="AE873" s="186"/>
      <c r="AF873" s="186"/>
      <c r="AG873" s="186"/>
      <c r="AH873" s="185"/>
      <c r="AJ873" s="186"/>
      <c r="AK873" s="186"/>
      <c r="AL873" s="186"/>
      <c r="AM873" s="187"/>
      <c r="AN873" s="186"/>
      <c r="AO873" s="186"/>
      <c r="AQ873" s="186"/>
      <c r="AR873" s="186"/>
      <c r="AS873" s="187"/>
      <c r="AU873" s="186"/>
      <c r="AV873" s="186"/>
      <c r="AW873" s="186"/>
      <c r="AX873" s="186"/>
      <c r="AY873" s="186"/>
      <c r="AZ873" s="186"/>
      <c r="BA873" s="186"/>
      <c r="BC873" s="186"/>
      <c r="BD873" s="186"/>
      <c r="BE873" s="187"/>
    </row>
    <row r="874" spans="6:57" x14ac:dyDescent="0.3">
      <c r="F874" s="185"/>
      <c r="H874" s="186"/>
      <c r="J874" s="186"/>
      <c r="K874" s="186"/>
      <c r="L874" s="186"/>
      <c r="M874" s="186"/>
      <c r="N874" s="186"/>
      <c r="O874" s="187"/>
      <c r="P874" s="186"/>
      <c r="Q874" s="186"/>
      <c r="R874" s="186"/>
      <c r="S874" s="186"/>
      <c r="T874" s="186"/>
      <c r="U874" s="186"/>
      <c r="V874" s="186"/>
      <c r="W874" s="187"/>
      <c r="X874" s="186"/>
      <c r="Y874" s="186"/>
      <c r="Z874" s="185"/>
      <c r="AA874" s="186"/>
      <c r="AB874" s="186"/>
      <c r="AC874" s="186"/>
      <c r="AD874" s="186"/>
      <c r="AE874" s="186"/>
      <c r="AF874" s="186"/>
      <c r="AG874" s="186"/>
      <c r="AH874" s="185"/>
      <c r="AJ874" s="186"/>
      <c r="AK874" s="186"/>
      <c r="AL874" s="186"/>
      <c r="AM874" s="187"/>
      <c r="AN874" s="186"/>
      <c r="AO874" s="186"/>
      <c r="AQ874" s="186"/>
      <c r="AR874" s="186"/>
      <c r="AS874" s="187"/>
      <c r="AU874" s="186"/>
      <c r="AV874" s="186"/>
      <c r="AW874" s="186"/>
      <c r="AX874" s="186"/>
      <c r="AY874" s="186"/>
      <c r="AZ874" s="186"/>
      <c r="BA874" s="186"/>
      <c r="BC874" s="186"/>
      <c r="BD874" s="186"/>
      <c r="BE874" s="187"/>
    </row>
    <row r="875" spans="6:57" x14ac:dyDescent="0.3">
      <c r="F875" s="185"/>
      <c r="H875" s="186"/>
      <c r="J875" s="186"/>
      <c r="K875" s="186"/>
      <c r="L875" s="186"/>
      <c r="M875" s="186"/>
      <c r="N875" s="186"/>
      <c r="O875" s="187"/>
      <c r="P875" s="186"/>
      <c r="Q875" s="186"/>
      <c r="R875" s="186"/>
      <c r="S875" s="186"/>
      <c r="T875" s="186"/>
      <c r="U875" s="186"/>
      <c r="V875" s="186"/>
      <c r="W875" s="187"/>
      <c r="X875" s="186"/>
      <c r="Y875" s="186"/>
      <c r="Z875" s="185"/>
      <c r="AA875" s="186"/>
      <c r="AB875" s="186"/>
      <c r="AC875" s="186"/>
      <c r="AD875" s="186"/>
      <c r="AE875" s="186"/>
      <c r="AF875" s="186"/>
      <c r="AG875" s="186"/>
      <c r="AH875" s="185"/>
      <c r="AJ875" s="186"/>
      <c r="AK875" s="186"/>
      <c r="AL875" s="186"/>
      <c r="AM875" s="187"/>
      <c r="AN875" s="186"/>
      <c r="AO875" s="186"/>
      <c r="AQ875" s="186"/>
      <c r="AR875" s="186"/>
      <c r="AS875" s="187"/>
      <c r="AU875" s="186"/>
      <c r="AV875" s="186"/>
      <c r="AW875" s="186"/>
      <c r="AX875" s="186"/>
      <c r="AY875" s="186"/>
      <c r="AZ875" s="186"/>
      <c r="BA875" s="186"/>
      <c r="BC875" s="186"/>
      <c r="BD875" s="186"/>
      <c r="BE875" s="187"/>
    </row>
    <row r="876" spans="6:57" x14ac:dyDescent="0.3">
      <c r="F876" s="185"/>
      <c r="H876" s="186"/>
      <c r="J876" s="186"/>
      <c r="K876" s="186"/>
      <c r="L876" s="186"/>
      <c r="M876" s="186"/>
      <c r="N876" s="186"/>
      <c r="O876" s="187"/>
      <c r="P876" s="186"/>
      <c r="Q876" s="186"/>
      <c r="R876" s="186"/>
      <c r="S876" s="186"/>
      <c r="T876" s="186"/>
      <c r="U876" s="186"/>
      <c r="V876" s="186"/>
      <c r="W876" s="187"/>
      <c r="X876" s="186"/>
      <c r="Y876" s="186"/>
      <c r="Z876" s="185"/>
      <c r="AA876" s="186"/>
      <c r="AB876" s="186"/>
      <c r="AC876" s="186"/>
      <c r="AD876" s="186"/>
      <c r="AE876" s="186"/>
      <c r="AF876" s="186"/>
      <c r="AG876" s="186"/>
      <c r="AH876" s="185"/>
      <c r="AJ876" s="186"/>
      <c r="AK876" s="186"/>
      <c r="AL876" s="186"/>
      <c r="AM876" s="187"/>
      <c r="AN876" s="186"/>
      <c r="AO876" s="186"/>
      <c r="AQ876" s="186"/>
      <c r="AR876" s="186"/>
      <c r="AS876" s="187"/>
      <c r="AU876" s="186"/>
      <c r="AV876" s="186"/>
      <c r="AW876" s="186"/>
      <c r="AX876" s="186"/>
      <c r="AY876" s="186"/>
      <c r="AZ876" s="186"/>
      <c r="BA876" s="186"/>
      <c r="BC876" s="186"/>
      <c r="BD876" s="186"/>
      <c r="BE876" s="187"/>
    </row>
    <row r="877" spans="6:57" x14ac:dyDescent="0.3">
      <c r="F877" s="185"/>
      <c r="H877" s="186"/>
      <c r="J877" s="186"/>
      <c r="K877" s="186"/>
      <c r="L877" s="186"/>
      <c r="M877" s="186"/>
      <c r="N877" s="186"/>
      <c r="O877" s="187"/>
      <c r="P877" s="186"/>
      <c r="Q877" s="186"/>
      <c r="R877" s="186"/>
      <c r="S877" s="186"/>
      <c r="T877" s="186"/>
      <c r="U877" s="186"/>
      <c r="V877" s="186"/>
      <c r="W877" s="187"/>
      <c r="X877" s="186"/>
      <c r="Y877" s="186"/>
      <c r="Z877" s="185"/>
      <c r="AA877" s="186"/>
      <c r="AB877" s="186"/>
      <c r="AC877" s="186"/>
      <c r="AD877" s="186"/>
      <c r="AE877" s="186"/>
      <c r="AF877" s="186"/>
      <c r="AG877" s="186"/>
      <c r="AH877" s="185"/>
      <c r="AJ877" s="186"/>
      <c r="AK877" s="186"/>
      <c r="AL877" s="186"/>
      <c r="AM877" s="187"/>
      <c r="AN877" s="186"/>
      <c r="AO877" s="186"/>
      <c r="AQ877" s="186"/>
      <c r="AR877" s="186"/>
      <c r="AS877" s="187"/>
      <c r="AU877" s="186"/>
      <c r="AV877" s="186"/>
      <c r="AW877" s="186"/>
      <c r="AX877" s="186"/>
      <c r="AY877" s="186"/>
      <c r="AZ877" s="186"/>
      <c r="BA877" s="186"/>
      <c r="BC877" s="186"/>
      <c r="BD877" s="186"/>
      <c r="BE877" s="187"/>
    </row>
    <row r="878" spans="6:57" x14ac:dyDescent="0.3">
      <c r="F878" s="185"/>
      <c r="H878" s="186"/>
      <c r="J878" s="186"/>
      <c r="K878" s="186"/>
      <c r="L878" s="186"/>
      <c r="M878" s="186"/>
      <c r="N878" s="186"/>
      <c r="O878" s="187"/>
      <c r="P878" s="186"/>
      <c r="Q878" s="186"/>
      <c r="R878" s="186"/>
      <c r="S878" s="186"/>
      <c r="T878" s="186"/>
      <c r="U878" s="186"/>
      <c r="V878" s="186"/>
      <c r="W878" s="187"/>
      <c r="X878" s="186"/>
      <c r="Y878" s="186"/>
      <c r="Z878" s="185"/>
      <c r="AA878" s="186"/>
      <c r="AB878" s="186"/>
      <c r="AC878" s="186"/>
      <c r="AD878" s="186"/>
      <c r="AE878" s="186"/>
      <c r="AF878" s="186"/>
      <c r="AG878" s="186"/>
      <c r="AH878" s="185"/>
      <c r="AJ878" s="186"/>
      <c r="AK878" s="186"/>
      <c r="AL878" s="186"/>
      <c r="AM878" s="187"/>
      <c r="AN878" s="186"/>
      <c r="AO878" s="186"/>
      <c r="AQ878" s="186"/>
      <c r="AR878" s="186"/>
      <c r="AS878" s="187"/>
      <c r="AU878" s="186"/>
      <c r="AV878" s="186"/>
      <c r="AW878" s="186"/>
      <c r="AX878" s="186"/>
      <c r="AY878" s="186"/>
      <c r="AZ878" s="186"/>
      <c r="BA878" s="186"/>
      <c r="BC878" s="186"/>
      <c r="BD878" s="186"/>
      <c r="BE878" s="187"/>
    </row>
    <row r="879" spans="6:57" x14ac:dyDescent="0.3">
      <c r="F879" s="185"/>
      <c r="H879" s="186"/>
      <c r="J879" s="186"/>
      <c r="K879" s="186"/>
      <c r="L879" s="186"/>
      <c r="M879" s="186"/>
      <c r="N879" s="186"/>
      <c r="O879" s="187"/>
      <c r="P879" s="186"/>
      <c r="Q879" s="186"/>
      <c r="R879" s="186"/>
      <c r="S879" s="186"/>
      <c r="T879" s="186"/>
      <c r="U879" s="186"/>
      <c r="V879" s="186"/>
      <c r="W879" s="187"/>
      <c r="X879" s="186"/>
      <c r="Y879" s="186"/>
      <c r="Z879" s="185"/>
      <c r="AA879" s="186"/>
      <c r="AB879" s="186"/>
      <c r="AC879" s="186"/>
      <c r="AD879" s="186"/>
      <c r="AE879" s="186"/>
      <c r="AF879" s="186"/>
      <c r="AG879" s="186"/>
      <c r="AH879" s="185"/>
      <c r="AJ879" s="186"/>
      <c r="AK879" s="186"/>
      <c r="AL879" s="186"/>
      <c r="AM879" s="187"/>
      <c r="AN879" s="186"/>
      <c r="AO879" s="186"/>
      <c r="AQ879" s="186"/>
      <c r="AR879" s="186"/>
      <c r="AS879" s="187"/>
      <c r="AU879" s="186"/>
      <c r="AV879" s="186"/>
      <c r="AW879" s="186"/>
      <c r="AX879" s="186"/>
      <c r="AY879" s="186"/>
      <c r="AZ879" s="186"/>
      <c r="BA879" s="186"/>
      <c r="BC879" s="186"/>
      <c r="BD879" s="186"/>
      <c r="BE879" s="187"/>
    </row>
    <row r="880" spans="6:57" x14ac:dyDescent="0.3">
      <c r="F880" s="185"/>
      <c r="H880" s="186"/>
      <c r="J880" s="186"/>
      <c r="K880" s="186"/>
      <c r="L880" s="186"/>
      <c r="M880" s="186"/>
      <c r="N880" s="186"/>
      <c r="O880" s="187"/>
      <c r="P880" s="186"/>
      <c r="Q880" s="186"/>
      <c r="R880" s="186"/>
      <c r="S880" s="186"/>
      <c r="T880" s="186"/>
      <c r="U880" s="186"/>
      <c r="V880" s="186"/>
      <c r="W880" s="187"/>
      <c r="X880" s="186"/>
      <c r="Y880" s="186"/>
      <c r="Z880" s="185"/>
      <c r="AA880" s="186"/>
      <c r="AB880" s="186"/>
      <c r="AC880" s="186"/>
      <c r="AD880" s="186"/>
      <c r="AE880" s="186"/>
      <c r="AF880" s="186"/>
      <c r="AG880" s="186"/>
      <c r="AH880" s="185"/>
      <c r="AJ880" s="186"/>
      <c r="AK880" s="186"/>
      <c r="AL880" s="186"/>
      <c r="AM880" s="187"/>
      <c r="AN880" s="186"/>
      <c r="AO880" s="186"/>
      <c r="AQ880" s="186"/>
      <c r="AR880" s="186"/>
      <c r="AS880" s="187"/>
      <c r="AU880" s="186"/>
      <c r="AV880" s="186"/>
      <c r="AW880" s="186"/>
      <c r="AX880" s="186"/>
      <c r="AY880" s="186"/>
      <c r="AZ880" s="186"/>
      <c r="BA880" s="186"/>
      <c r="BC880" s="186"/>
      <c r="BD880" s="186"/>
      <c r="BE880" s="187"/>
    </row>
    <row r="881" spans="6:57" x14ac:dyDescent="0.3">
      <c r="F881" s="185"/>
      <c r="H881" s="186"/>
      <c r="J881" s="186"/>
      <c r="K881" s="186"/>
      <c r="L881" s="186"/>
      <c r="M881" s="186"/>
      <c r="N881" s="186"/>
      <c r="O881" s="187"/>
      <c r="P881" s="186"/>
      <c r="Q881" s="186"/>
      <c r="R881" s="186"/>
      <c r="S881" s="186"/>
      <c r="T881" s="186"/>
      <c r="U881" s="186"/>
      <c r="V881" s="186"/>
      <c r="W881" s="187"/>
      <c r="X881" s="186"/>
      <c r="Y881" s="186"/>
      <c r="Z881" s="185"/>
      <c r="AA881" s="186"/>
      <c r="AB881" s="186"/>
      <c r="AC881" s="186"/>
      <c r="AD881" s="186"/>
      <c r="AE881" s="186"/>
      <c r="AF881" s="186"/>
      <c r="AG881" s="186"/>
      <c r="AH881" s="185"/>
      <c r="AJ881" s="186"/>
      <c r="AK881" s="186"/>
      <c r="AL881" s="186"/>
      <c r="AM881" s="187"/>
      <c r="AN881" s="186"/>
      <c r="AO881" s="186"/>
      <c r="AQ881" s="186"/>
      <c r="AR881" s="186"/>
      <c r="AS881" s="187"/>
      <c r="AU881" s="186"/>
      <c r="AV881" s="186"/>
      <c r="AW881" s="186"/>
      <c r="AX881" s="186"/>
      <c r="AY881" s="186"/>
      <c r="AZ881" s="186"/>
      <c r="BA881" s="186"/>
      <c r="BC881" s="186"/>
      <c r="BD881" s="186"/>
      <c r="BE881" s="187"/>
    </row>
    <row r="882" spans="6:57" x14ac:dyDescent="0.3">
      <c r="F882" s="185"/>
      <c r="H882" s="186"/>
      <c r="J882" s="186"/>
      <c r="K882" s="186"/>
      <c r="L882" s="186"/>
      <c r="M882" s="186"/>
      <c r="N882" s="186"/>
      <c r="O882" s="187"/>
      <c r="P882" s="186"/>
      <c r="Q882" s="186"/>
      <c r="R882" s="186"/>
      <c r="S882" s="186"/>
      <c r="T882" s="186"/>
      <c r="U882" s="186"/>
      <c r="V882" s="186"/>
      <c r="W882" s="187"/>
      <c r="X882" s="186"/>
      <c r="Y882" s="186"/>
      <c r="Z882" s="185"/>
      <c r="AA882" s="186"/>
      <c r="AB882" s="186"/>
      <c r="AC882" s="186"/>
      <c r="AD882" s="186"/>
      <c r="AE882" s="186"/>
      <c r="AF882" s="186"/>
      <c r="AG882" s="186"/>
      <c r="AH882" s="185"/>
      <c r="AJ882" s="186"/>
      <c r="AK882" s="186"/>
      <c r="AL882" s="186"/>
      <c r="AM882" s="187"/>
      <c r="AN882" s="186"/>
      <c r="AO882" s="186"/>
      <c r="AQ882" s="186"/>
      <c r="AR882" s="186"/>
      <c r="AS882" s="187"/>
      <c r="AU882" s="186"/>
      <c r="AV882" s="186"/>
      <c r="AW882" s="186"/>
      <c r="AX882" s="186"/>
      <c r="AY882" s="186"/>
      <c r="AZ882" s="186"/>
      <c r="BA882" s="186"/>
      <c r="BC882" s="186"/>
      <c r="BD882" s="186"/>
      <c r="BE882" s="187"/>
    </row>
    <row r="883" spans="6:57" x14ac:dyDescent="0.3">
      <c r="F883" s="185"/>
      <c r="H883" s="186"/>
      <c r="J883" s="186"/>
      <c r="K883" s="186"/>
      <c r="L883" s="186"/>
      <c r="M883" s="186"/>
      <c r="N883" s="186"/>
      <c r="O883" s="187"/>
      <c r="P883" s="186"/>
      <c r="Q883" s="186"/>
      <c r="R883" s="186"/>
      <c r="S883" s="186"/>
      <c r="T883" s="186"/>
      <c r="U883" s="186"/>
      <c r="V883" s="186"/>
      <c r="W883" s="187"/>
      <c r="X883" s="186"/>
      <c r="Y883" s="186"/>
      <c r="Z883" s="185"/>
      <c r="AA883" s="186"/>
      <c r="AB883" s="186"/>
      <c r="AC883" s="186"/>
      <c r="AD883" s="186"/>
      <c r="AE883" s="186"/>
      <c r="AF883" s="186"/>
      <c r="AG883" s="186"/>
      <c r="AH883" s="185"/>
      <c r="AJ883" s="186"/>
      <c r="AK883" s="186"/>
      <c r="AL883" s="186"/>
      <c r="AM883" s="187"/>
      <c r="AN883" s="186"/>
      <c r="AO883" s="186"/>
      <c r="AQ883" s="186"/>
      <c r="AR883" s="186"/>
      <c r="AS883" s="187"/>
      <c r="AU883" s="186"/>
      <c r="AV883" s="186"/>
      <c r="AW883" s="186"/>
      <c r="AX883" s="186"/>
      <c r="AY883" s="186"/>
      <c r="AZ883" s="186"/>
      <c r="BA883" s="186"/>
      <c r="BC883" s="186"/>
      <c r="BD883" s="186"/>
      <c r="BE883" s="187"/>
    </row>
    <row r="884" spans="6:57" x14ac:dyDescent="0.3">
      <c r="F884" s="185"/>
      <c r="H884" s="186"/>
      <c r="J884" s="186"/>
      <c r="K884" s="186"/>
      <c r="L884" s="186"/>
      <c r="M884" s="186"/>
      <c r="N884" s="186"/>
      <c r="O884" s="187"/>
      <c r="P884" s="186"/>
      <c r="Q884" s="186"/>
      <c r="R884" s="186"/>
      <c r="S884" s="186"/>
      <c r="T884" s="186"/>
      <c r="U884" s="186"/>
      <c r="V884" s="186"/>
      <c r="W884" s="187"/>
      <c r="X884" s="186"/>
      <c r="Y884" s="186"/>
      <c r="Z884" s="185"/>
      <c r="AA884" s="186"/>
      <c r="AB884" s="186"/>
      <c r="AC884" s="186"/>
      <c r="AD884" s="186"/>
      <c r="AE884" s="186"/>
      <c r="AF884" s="186"/>
      <c r="AG884" s="186"/>
      <c r="AH884" s="185"/>
      <c r="AJ884" s="186"/>
      <c r="AK884" s="186"/>
      <c r="AL884" s="186"/>
      <c r="AM884" s="187"/>
      <c r="AN884" s="186"/>
      <c r="AO884" s="186"/>
      <c r="AQ884" s="186"/>
      <c r="AR884" s="186"/>
      <c r="AS884" s="187"/>
      <c r="AU884" s="186"/>
      <c r="AV884" s="186"/>
      <c r="AW884" s="186"/>
      <c r="AX884" s="186"/>
      <c r="AY884" s="186"/>
      <c r="AZ884" s="186"/>
      <c r="BA884" s="186"/>
      <c r="BC884" s="186"/>
      <c r="BD884" s="186"/>
      <c r="BE884" s="187"/>
    </row>
    <row r="885" spans="6:57" x14ac:dyDescent="0.3">
      <c r="F885" s="185"/>
      <c r="H885" s="186"/>
      <c r="J885" s="186"/>
      <c r="K885" s="186"/>
      <c r="L885" s="186"/>
      <c r="M885" s="186"/>
      <c r="N885" s="186"/>
      <c r="O885" s="187"/>
      <c r="P885" s="186"/>
      <c r="Q885" s="186"/>
      <c r="R885" s="186"/>
      <c r="S885" s="186"/>
      <c r="T885" s="186"/>
      <c r="U885" s="186"/>
      <c r="V885" s="186"/>
      <c r="W885" s="187"/>
      <c r="X885" s="186"/>
      <c r="Y885" s="186"/>
      <c r="Z885" s="185"/>
      <c r="AA885" s="186"/>
      <c r="AB885" s="186"/>
      <c r="AC885" s="186"/>
      <c r="AD885" s="186"/>
      <c r="AE885" s="186"/>
      <c r="AF885" s="186"/>
      <c r="AG885" s="186"/>
      <c r="AH885" s="185"/>
      <c r="AJ885" s="186"/>
      <c r="AK885" s="186"/>
      <c r="AL885" s="186"/>
      <c r="AM885" s="187"/>
      <c r="AN885" s="186"/>
      <c r="AO885" s="186"/>
      <c r="AQ885" s="186"/>
      <c r="AR885" s="186"/>
      <c r="AS885" s="187"/>
      <c r="AU885" s="186"/>
      <c r="AV885" s="186"/>
      <c r="AW885" s="186"/>
      <c r="AX885" s="186"/>
      <c r="AY885" s="186"/>
      <c r="AZ885" s="186"/>
      <c r="BA885" s="186"/>
      <c r="BC885" s="186"/>
      <c r="BD885" s="186"/>
      <c r="BE885" s="187"/>
    </row>
    <row r="886" spans="6:57" x14ac:dyDescent="0.3">
      <c r="F886" s="185"/>
      <c r="H886" s="186"/>
      <c r="J886" s="186"/>
      <c r="K886" s="186"/>
      <c r="L886" s="186"/>
      <c r="M886" s="186"/>
      <c r="N886" s="186"/>
      <c r="O886" s="187"/>
      <c r="P886" s="186"/>
      <c r="Q886" s="186"/>
      <c r="R886" s="186"/>
      <c r="S886" s="186"/>
      <c r="T886" s="186"/>
      <c r="U886" s="186"/>
      <c r="V886" s="186"/>
      <c r="W886" s="187"/>
      <c r="X886" s="186"/>
      <c r="Y886" s="186"/>
      <c r="Z886" s="185"/>
      <c r="AA886" s="186"/>
      <c r="AB886" s="186"/>
      <c r="AC886" s="186"/>
      <c r="AD886" s="186"/>
      <c r="AE886" s="186"/>
      <c r="AF886" s="186"/>
      <c r="AG886" s="186"/>
      <c r="AH886" s="185"/>
      <c r="AJ886" s="186"/>
      <c r="AK886" s="186"/>
      <c r="AL886" s="186"/>
      <c r="AM886" s="187"/>
      <c r="AN886" s="186"/>
      <c r="AO886" s="186"/>
      <c r="AQ886" s="186"/>
      <c r="AR886" s="186"/>
      <c r="AS886" s="187"/>
      <c r="AU886" s="186"/>
      <c r="AV886" s="186"/>
      <c r="AW886" s="186"/>
      <c r="AX886" s="186"/>
      <c r="AY886" s="186"/>
      <c r="AZ886" s="186"/>
      <c r="BA886" s="186"/>
      <c r="BC886" s="186"/>
      <c r="BD886" s="186"/>
      <c r="BE886" s="187"/>
    </row>
    <row r="887" spans="6:57" x14ac:dyDescent="0.3">
      <c r="F887" s="185"/>
      <c r="H887" s="186"/>
      <c r="J887" s="186"/>
      <c r="K887" s="186"/>
      <c r="L887" s="186"/>
      <c r="M887" s="186"/>
      <c r="N887" s="186"/>
      <c r="O887" s="187"/>
      <c r="P887" s="186"/>
      <c r="Q887" s="186"/>
      <c r="R887" s="186"/>
      <c r="S887" s="186"/>
      <c r="T887" s="186"/>
      <c r="U887" s="186"/>
      <c r="V887" s="186"/>
      <c r="W887" s="187"/>
      <c r="X887" s="186"/>
      <c r="Y887" s="186"/>
      <c r="Z887" s="185"/>
      <c r="AA887" s="186"/>
      <c r="AB887" s="186"/>
      <c r="AC887" s="186"/>
      <c r="AD887" s="186"/>
      <c r="AE887" s="186"/>
      <c r="AF887" s="186"/>
      <c r="AG887" s="186"/>
      <c r="AH887" s="185"/>
      <c r="AJ887" s="186"/>
      <c r="AK887" s="186"/>
      <c r="AL887" s="186"/>
      <c r="AM887" s="187"/>
      <c r="AN887" s="186"/>
      <c r="AO887" s="186"/>
      <c r="AQ887" s="186"/>
      <c r="AR887" s="186"/>
      <c r="AS887" s="187"/>
      <c r="AU887" s="186"/>
      <c r="AV887" s="186"/>
      <c r="AW887" s="186"/>
      <c r="AX887" s="186"/>
      <c r="AY887" s="186"/>
      <c r="AZ887" s="186"/>
      <c r="BA887" s="186"/>
      <c r="BC887" s="186"/>
      <c r="BD887" s="186"/>
      <c r="BE887" s="187"/>
    </row>
    <row r="888" spans="6:57" x14ac:dyDescent="0.3">
      <c r="F888" s="185"/>
      <c r="H888" s="186"/>
      <c r="J888" s="186"/>
      <c r="K888" s="186"/>
      <c r="L888" s="186"/>
      <c r="M888" s="186"/>
      <c r="N888" s="186"/>
      <c r="O888" s="187"/>
      <c r="P888" s="186"/>
      <c r="Q888" s="186"/>
      <c r="R888" s="186"/>
      <c r="S888" s="186"/>
      <c r="T888" s="186"/>
      <c r="U888" s="186"/>
      <c r="V888" s="186"/>
      <c r="W888" s="187"/>
      <c r="X888" s="186"/>
      <c r="Y888" s="186"/>
      <c r="Z888" s="185"/>
      <c r="AA888" s="186"/>
      <c r="AB888" s="186"/>
      <c r="AC888" s="186"/>
      <c r="AD888" s="186"/>
      <c r="AE888" s="186"/>
      <c r="AF888" s="186"/>
      <c r="AG888" s="186"/>
      <c r="AH888" s="185"/>
      <c r="AJ888" s="186"/>
      <c r="AK888" s="186"/>
      <c r="AL888" s="186"/>
      <c r="AM888" s="187"/>
      <c r="AN888" s="186"/>
      <c r="AO888" s="186"/>
      <c r="AQ888" s="186"/>
      <c r="AR888" s="186"/>
      <c r="AS888" s="187"/>
      <c r="AU888" s="186"/>
      <c r="AV888" s="186"/>
      <c r="AW888" s="186"/>
      <c r="AX888" s="186"/>
      <c r="AY888" s="186"/>
      <c r="AZ888" s="186"/>
      <c r="BA888" s="186"/>
      <c r="BC888" s="186"/>
      <c r="BD888" s="186"/>
      <c r="BE888" s="187"/>
    </row>
    <row r="889" spans="6:57" x14ac:dyDescent="0.3">
      <c r="F889" s="185"/>
      <c r="H889" s="186"/>
      <c r="J889" s="186"/>
      <c r="K889" s="186"/>
      <c r="L889" s="186"/>
      <c r="M889" s="186"/>
      <c r="N889" s="186"/>
      <c r="O889" s="187"/>
      <c r="P889" s="186"/>
      <c r="Q889" s="186"/>
      <c r="R889" s="186"/>
      <c r="S889" s="186"/>
      <c r="T889" s="186"/>
      <c r="U889" s="186"/>
      <c r="V889" s="186"/>
      <c r="W889" s="187"/>
      <c r="X889" s="186"/>
      <c r="Y889" s="186"/>
      <c r="Z889" s="185"/>
      <c r="AA889" s="186"/>
      <c r="AB889" s="186"/>
      <c r="AC889" s="186"/>
      <c r="AD889" s="186"/>
      <c r="AE889" s="186"/>
      <c r="AF889" s="186"/>
      <c r="AG889" s="186"/>
      <c r="AH889" s="185"/>
      <c r="AJ889" s="186"/>
      <c r="AK889" s="186"/>
      <c r="AL889" s="186"/>
      <c r="AM889" s="187"/>
      <c r="AN889" s="186"/>
      <c r="AO889" s="186"/>
      <c r="AQ889" s="186"/>
      <c r="AR889" s="186"/>
      <c r="AS889" s="187"/>
      <c r="AU889" s="186"/>
      <c r="AV889" s="186"/>
      <c r="AW889" s="186"/>
      <c r="AX889" s="186"/>
      <c r="AY889" s="186"/>
      <c r="AZ889" s="186"/>
      <c r="BA889" s="186"/>
      <c r="BC889" s="186"/>
      <c r="BD889" s="186"/>
      <c r="BE889" s="187"/>
    </row>
    <row r="890" spans="6:57" x14ac:dyDescent="0.3">
      <c r="F890" s="185"/>
      <c r="H890" s="186"/>
      <c r="J890" s="186"/>
      <c r="K890" s="186"/>
      <c r="L890" s="186"/>
      <c r="M890" s="186"/>
      <c r="N890" s="186"/>
      <c r="O890" s="187"/>
      <c r="P890" s="186"/>
      <c r="Q890" s="186"/>
      <c r="R890" s="186"/>
      <c r="S890" s="186"/>
      <c r="T890" s="186"/>
      <c r="U890" s="186"/>
      <c r="V890" s="186"/>
      <c r="W890" s="187"/>
      <c r="X890" s="186"/>
      <c r="Y890" s="186"/>
      <c r="Z890" s="185"/>
      <c r="AA890" s="186"/>
      <c r="AB890" s="186"/>
      <c r="AC890" s="186"/>
      <c r="AD890" s="186"/>
      <c r="AE890" s="186"/>
      <c r="AF890" s="186"/>
      <c r="AG890" s="186"/>
      <c r="AH890" s="185"/>
      <c r="AJ890" s="186"/>
      <c r="AK890" s="186"/>
      <c r="AL890" s="186"/>
      <c r="AM890" s="187"/>
      <c r="AN890" s="186"/>
      <c r="AO890" s="186"/>
      <c r="AQ890" s="186"/>
      <c r="AR890" s="186"/>
      <c r="AS890" s="187"/>
      <c r="AU890" s="186"/>
      <c r="AV890" s="186"/>
      <c r="AW890" s="186"/>
      <c r="AX890" s="186"/>
      <c r="AY890" s="186"/>
      <c r="AZ890" s="186"/>
      <c r="BA890" s="186"/>
      <c r="BC890" s="186"/>
      <c r="BD890" s="186"/>
      <c r="BE890" s="187"/>
    </row>
    <row r="891" spans="6:57" x14ac:dyDescent="0.3">
      <c r="F891" s="185"/>
      <c r="H891" s="186"/>
      <c r="J891" s="186"/>
      <c r="K891" s="186"/>
      <c r="L891" s="186"/>
      <c r="M891" s="186"/>
      <c r="N891" s="186"/>
      <c r="O891" s="187"/>
      <c r="P891" s="186"/>
      <c r="Q891" s="186"/>
      <c r="R891" s="186"/>
      <c r="S891" s="186"/>
      <c r="T891" s="186"/>
      <c r="U891" s="186"/>
      <c r="V891" s="186"/>
      <c r="W891" s="187"/>
      <c r="X891" s="186"/>
      <c r="Y891" s="186"/>
      <c r="Z891" s="185"/>
      <c r="AA891" s="186"/>
      <c r="AB891" s="186"/>
      <c r="AC891" s="186"/>
      <c r="AD891" s="186"/>
      <c r="AE891" s="186"/>
      <c r="AF891" s="186"/>
      <c r="AG891" s="186"/>
      <c r="AH891" s="185"/>
      <c r="AJ891" s="186"/>
      <c r="AK891" s="186"/>
      <c r="AL891" s="186"/>
      <c r="AM891" s="187"/>
      <c r="AN891" s="186"/>
      <c r="AO891" s="186"/>
      <c r="AQ891" s="186"/>
      <c r="AR891" s="186"/>
      <c r="AS891" s="187"/>
      <c r="AU891" s="186"/>
      <c r="AV891" s="186"/>
      <c r="AW891" s="186"/>
      <c r="AX891" s="186"/>
      <c r="AY891" s="186"/>
      <c r="AZ891" s="186"/>
      <c r="BA891" s="186"/>
      <c r="BC891" s="186"/>
      <c r="BD891" s="186"/>
      <c r="BE891" s="187"/>
    </row>
    <row r="892" spans="6:57" x14ac:dyDescent="0.3">
      <c r="F892" s="185"/>
      <c r="H892" s="186"/>
      <c r="J892" s="186"/>
      <c r="K892" s="186"/>
      <c r="L892" s="186"/>
      <c r="M892" s="186"/>
      <c r="N892" s="186"/>
      <c r="O892" s="187"/>
      <c r="P892" s="186"/>
      <c r="Q892" s="186"/>
      <c r="R892" s="186"/>
      <c r="S892" s="186"/>
      <c r="T892" s="186"/>
      <c r="U892" s="186"/>
      <c r="V892" s="186"/>
      <c r="W892" s="187"/>
      <c r="X892" s="186"/>
      <c r="Y892" s="186"/>
      <c r="Z892" s="185"/>
      <c r="AA892" s="186"/>
      <c r="AB892" s="186"/>
      <c r="AC892" s="186"/>
      <c r="AD892" s="186"/>
      <c r="AE892" s="186"/>
      <c r="AF892" s="186"/>
      <c r="AG892" s="186"/>
      <c r="AH892" s="185"/>
      <c r="AJ892" s="186"/>
      <c r="AK892" s="186"/>
      <c r="AL892" s="186"/>
      <c r="AM892" s="187"/>
      <c r="AN892" s="186"/>
      <c r="AO892" s="186"/>
      <c r="AQ892" s="186"/>
      <c r="AR892" s="186"/>
      <c r="AS892" s="187"/>
      <c r="AU892" s="186"/>
      <c r="AV892" s="186"/>
      <c r="AW892" s="186"/>
      <c r="AX892" s="186"/>
      <c r="AY892" s="186"/>
      <c r="AZ892" s="186"/>
      <c r="BA892" s="186"/>
      <c r="BC892" s="186"/>
      <c r="BD892" s="186"/>
      <c r="BE892" s="187"/>
    </row>
    <row r="893" spans="6:57" x14ac:dyDescent="0.3">
      <c r="F893" s="185"/>
      <c r="H893" s="186"/>
      <c r="J893" s="186"/>
      <c r="K893" s="186"/>
      <c r="L893" s="186"/>
      <c r="M893" s="186"/>
      <c r="N893" s="186"/>
      <c r="O893" s="187"/>
      <c r="P893" s="186"/>
      <c r="Q893" s="186"/>
      <c r="R893" s="186"/>
      <c r="S893" s="186"/>
      <c r="T893" s="186"/>
      <c r="U893" s="186"/>
      <c r="V893" s="186"/>
      <c r="W893" s="187"/>
      <c r="X893" s="186"/>
      <c r="Y893" s="186"/>
      <c r="Z893" s="185"/>
      <c r="AA893" s="186"/>
      <c r="AB893" s="186"/>
      <c r="AC893" s="186"/>
      <c r="AD893" s="186"/>
      <c r="AE893" s="186"/>
      <c r="AF893" s="186"/>
      <c r="AG893" s="186"/>
      <c r="AH893" s="185"/>
      <c r="AJ893" s="186"/>
      <c r="AK893" s="186"/>
      <c r="AL893" s="186"/>
      <c r="AM893" s="187"/>
      <c r="AN893" s="186"/>
      <c r="AO893" s="186"/>
      <c r="AQ893" s="186"/>
      <c r="AR893" s="186"/>
      <c r="AS893" s="187"/>
      <c r="AU893" s="186"/>
      <c r="AV893" s="186"/>
      <c r="AW893" s="186"/>
      <c r="AX893" s="186"/>
      <c r="AY893" s="186"/>
      <c r="AZ893" s="186"/>
      <c r="BA893" s="186"/>
      <c r="BC893" s="186"/>
      <c r="BD893" s="186"/>
      <c r="BE893" s="187"/>
    </row>
    <row r="894" spans="6:57" x14ac:dyDescent="0.3">
      <c r="F894" s="185"/>
      <c r="H894" s="186"/>
      <c r="J894" s="186"/>
      <c r="K894" s="186"/>
      <c r="L894" s="186"/>
      <c r="M894" s="186"/>
      <c r="N894" s="186"/>
      <c r="O894" s="187"/>
      <c r="P894" s="186"/>
      <c r="Q894" s="186"/>
      <c r="R894" s="186"/>
      <c r="S894" s="186"/>
      <c r="T894" s="186"/>
      <c r="U894" s="186"/>
      <c r="V894" s="186"/>
      <c r="W894" s="187"/>
      <c r="X894" s="186"/>
      <c r="Y894" s="186"/>
      <c r="Z894" s="185"/>
      <c r="AA894" s="186"/>
      <c r="AB894" s="186"/>
      <c r="AC894" s="186"/>
      <c r="AD894" s="186"/>
      <c r="AE894" s="186"/>
      <c r="AF894" s="186"/>
      <c r="AG894" s="186"/>
      <c r="AH894" s="185"/>
      <c r="AJ894" s="186"/>
      <c r="AK894" s="186"/>
      <c r="AL894" s="186"/>
      <c r="AM894" s="187"/>
      <c r="AN894" s="186"/>
      <c r="AO894" s="186"/>
      <c r="AQ894" s="186"/>
      <c r="AR894" s="186"/>
      <c r="AS894" s="187"/>
      <c r="AU894" s="186"/>
      <c r="AV894" s="186"/>
      <c r="AW894" s="186"/>
      <c r="AX894" s="186"/>
      <c r="AY894" s="186"/>
      <c r="AZ894" s="186"/>
      <c r="BA894" s="186"/>
      <c r="BC894" s="186"/>
      <c r="BD894" s="186"/>
      <c r="BE894" s="187"/>
    </row>
    <row r="895" spans="6:57" x14ac:dyDescent="0.3">
      <c r="F895" s="185"/>
      <c r="H895" s="186"/>
      <c r="J895" s="186"/>
      <c r="K895" s="186"/>
      <c r="L895" s="186"/>
      <c r="M895" s="186"/>
      <c r="N895" s="186"/>
      <c r="O895" s="187"/>
      <c r="P895" s="186"/>
      <c r="Q895" s="186"/>
      <c r="R895" s="186"/>
      <c r="S895" s="186"/>
      <c r="T895" s="186"/>
      <c r="U895" s="186"/>
      <c r="V895" s="186"/>
      <c r="W895" s="187"/>
      <c r="X895" s="186"/>
      <c r="Y895" s="186"/>
      <c r="Z895" s="185"/>
      <c r="AA895" s="186"/>
      <c r="AB895" s="186"/>
      <c r="AC895" s="186"/>
      <c r="AD895" s="186"/>
      <c r="AE895" s="186"/>
      <c r="AF895" s="186"/>
      <c r="AG895" s="186"/>
      <c r="AH895" s="185"/>
      <c r="AJ895" s="186"/>
      <c r="AK895" s="186"/>
      <c r="AL895" s="186"/>
      <c r="AM895" s="187"/>
      <c r="AN895" s="186"/>
      <c r="AO895" s="186"/>
      <c r="AQ895" s="186"/>
      <c r="AR895" s="186"/>
      <c r="AS895" s="187"/>
      <c r="AU895" s="186"/>
      <c r="AV895" s="186"/>
      <c r="AW895" s="186"/>
      <c r="AX895" s="186"/>
      <c r="AY895" s="186"/>
      <c r="AZ895" s="186"/>
      <c r="BA895" s="186"/>
      <c r="BC895" s="186"/>
      <c r="BD895" s="186"/>
      <c r="BE895" s="187"/>
    </row>
    <row r="896" spans="6:57" x14ac:dyDescent="0.3">
      <c r="F896" s="185"/>
      <c r="H896" s="186"/>
      <c r="J896" s="186"/>
      <c r="K896" s="186"/>
      <c r="L896" s="186"/>
      <c r="M896" s="186"/>
      <c r="N896" s="186"/>
      <c r="O896" s="187"/>
      <c r="P896" s="186"/>
      <c r="Q896" s="186"/>
      <c r="R896" s="186"/>
      <c r="S896" s="186"/>
      <c r="T896" s="186"/>
      <c r="U896" s="186"/>
      <c r="V896" s="186"/>
      <c r="W896" s="187"/>
      <c r="X896" s="186"/>
      <c r="Y896" s="186"/>
      <c r="Z896" s="185"/>
      <c r="AA896" s="186"/>
      <c r="AB896" s="186"/>
      <c r="AC896" s="186"/>
      <c r="AD896" s="186"/>
      <c r="AE896" s="186"/>
      <c r="AF896" s="186"/>
      <c r="AG896" s="186"/>
      <c r="AH896" s="185"/>
      <c r="AJ896" s="186"/>
      <c r="AK896" s="186"/>
      <c r="AL896" s="186"/>
      <c r="AM896" s="187"/>
      <c r="AN896" s="186"/>
      <c r="AO896" s="186"/>
      <c r="AQ896" s="186"/>
      <c r="AR896" s="186"/>
      <c r="AS896" s="187"/>
      <c r="AU896" s="186"/>
      <c r="AV896" s="186"/>
      <c r="AW896" s="186"/>
      <c r="AX896" s="186"/>
      <c r="AY896" s="186"/>
      <c r="AZ896" s="186"/>
      <c r="BA896" s="186"/>
      <c r="BC896" s="186"/>
      <c r="BD896" s="186"/>
      <c r="BE896" s="187"/>
    </row>
    <row r="897" spans="6:57" x14ac:dyDescent="0.3">
      <c r="F897" s="185"/>
      <c r="H897" s="186"/>
      <c r="J897" s="186"/>
      <c r="K897" s="186"/>
      <c r="L897" s="186"/>
      <c r="M897" s="186"/>
      <c r="N897" s="186"/>
      <c r="O897" s="187"/>
      <c r="P897" s="186"/>
      <c r="Q897" s="186"/>
      <c r="R897" s="186"/>
      <c r="S897" s="186"/>
      <c r="T897" s="186"/>
      <c r="U897" s="186"/>
      <c r="V897" s="186"/>
      <c r="W897" s="187"/>
      <c r="X897" s="186"/>
      <c r="Y897" s="186"/>
      <c r="Z897" s="185"/>
      <c r="AA897" s="186"/>
      <c r="AB897" s="186"/>
      <c r="AC897" s="186"/>
      <c r="AD897" s="186"/>
      <c r="AE897" s="186"/>
      <c r="AF897" s="186"/>
      <c r="AG897" s="186"/>
      <c r="AH897" s="185"/>
      <c r="AJ897" s="186"/>
      <c r="AK897" s="186"/>
      <c r="AL897" s="186"/>
      <c r="AM897" s="187"/>
      <c r="AN897" s="186"/>
      <c r="AO897" s="186"/>
      <c r="AQ897" s="186"/>
      <c r="AR897" s="186"/>
      <c r="AS897" s="187"/>
      <c r="AU897" s="186"/>
      <c r="AV897" s="186"/>
      <c r="AW897" s="186"/>
      <c r="AX897" s="186"/>
      <c r="AY897" s="186"/>
      <c r="AZ897" s="186"/>
      <c r="BA897" s="186"/>
      <c r="BC897" s="186"/>
      <c r="BD897" s="186"/>
      <c r="BE897" s="187"/>
    </row>
    <row r="898" spans="6:57" x14ac:dyDescent="0.3">
      <c r="F898" s="185"/>
      <c r="H898" s="186"/>
      <c r="J898" s="186"/>
      <c r="K898" s="186"/>
      <c r="L898" s="186"/>
      <c r="M898" s="186"/>
      <c r="N898" s="186"/>
      <c r="O898" s="187"/>
      <c r="P898" s="186"/>
      <c r="Q898" s="186"/>
      <c r="R898" s="186"/>
      <c r="S898" s="186"/>
      <c r="T898" s="186"/>
      <c r="U898" s="186"/>
      <c r="V898" s="186"/>
      <c r="W898" s="187"/>
      <c r="X898" s="186"/>
      <c r="Y898" s="186"/>
      <c r="Z898" s="185"/>
      <c r="AA898" s="186"/>
      <c r="AB898" s="186"/>
      <c r="AC898" s="186"/>
      <c r="AD898" s="186"/>
      <c r="AE898" s="186"/>
      <c r="AF898" s="186"/>
      <c r="AG898" s="186"/>
      <c r="AH898" s="185"/>
      <c r="AJ898" s="186"/>
      <c r="AK898" s="186"/>
      <c r="AL898" s="186"/>
      <c r="AM898" s="187"/>
      <c r="AN898" s="186"/>
      <c r="AO898" s="186"/>
      <c r="AQ898" s="186"/>
      <c r="AR898" s="186"/>
      <c r="AS898" s="187"/>
      <c r="AU898" s="186"/>
      <c r="AV898" s="186"/>
      <c r="AW898" s="186"/>
      <c r="AX898" s="186"/>
      <c r="AY898" s="186"/>
      <c r="AZ898" s="186"/>
      <c r="BA898" s="186"/>
      <c r="BC898" s="186"/>
      <c r="BD898" s="186"/>
      <c r="BE898" s="187"/>
    </row>
    <row r="899" spans="6:57" x14ac:dyDescent="0.3">
      <c r="F899" s="185"/>
      <c r="H899" s="186"/>
      <c r="J899" s="186"/>
      <c r="K899" s="186"/>
      <c r="L899" s="186"/>
      <c r="M899" s="186"/>
      <c r="N899" s="186"/>
      <c r="O899" s="187"/>
      <c r="P899" s="186"/>
      <c r="Q899" s="186"/>
      <c r="R899" s="186"/>
      <c r="S899" s="186"/>
      <c r="T899" s="186"/>
      <c r="U899" s="186"/>
      <c r="V899" s="186"/>
      <c r="W899" s="187"/>
      <c r="X899" s="186"/>
      <c r="Y899" s="186"/>
      <c r="Z899" s="185"/>
      <c r="AA899" s="186"/>
      <c r="AB899" s="186"/>
      <c r="AC899" s="186"/>
      <c r="AD899" s="186"/>
      <c r="AE899" s="186"/>
      <c r="AF899" s="186"/>
      <c r="AG899" s="186"/>
      <c r="AH899" s="185"/>
      <c r="AJ899" s="186"/>
      <c r="AK899" s="186"/>
      <c r="AL899" s="186"/>
      <c r="AM899" s="187"/>
      <c r="AN899" s="186"/>
      <c r="AO899" s="186"/>
      <c r="AQ899" s="186"/>
      <c r="AR899" s="186"/>
      <c r="AS899" s="187"/>
      <c r="AU899" s="186"/>
      <c r="AV899" s="186"/>
      <c r="AW899" s="186"/>
      <c r="AX899" s="186"/>
      <c r="AY899" s="186"/>
      <c r="AZ899" s="186"/>
      <c r="BA899" s="186"/>
      <c r="BC899" s="186"/>
      <c r="BD899" s="186"/>
      <c r="BE899" s="187"/>
    </row>
    <row r="900" spans="6:57" x14ac:dyDescent="0.3">
      <c r="F900" s="185"/>
      <c r="H900" s="186"/>
      <c r="J900" s="186"/>
      <c r="K900" s="186"/>
      <c r="L900" s="186"/>
      <c r="M900" s="186"/>
      <c r="N900" s="186"/>
      <c r="O900" s="187"/>
      <c r="P900" s="186"/>
      <c r="Q900" s="186"/>
      <c r="R900" s="186"/>
      <c r="S900" s="186"/>
      <c r="T900" s="186"/>
      <c r="U900" s="186"/>
      <c r="V900" s="186"/>
      <c r="W900" s="187"/>
      <c r="X900" s="186"/>
      <c r="Y900" s="186"/>
      <c r="Z900" s="185"/>
      <c r="AA900" s="186"/>
      <c r="AB900" s="186"/>
      <c r="AC900" s="186"/>
      <c r="AD900" s="186"/>
      <c r="AE900" s="186"/>
      <c r="AF900" s="186"/>
      <c r="AG900" s="186"/>
      <c r="AH900" s="185"/>
      <c r="AJ900" s="186"/>
      <c r="AK900" s="186"/>
      <c r="AL900" s="186"/>
      <c r="AM900" s="187"/>
      <c r="AN900" s="186"/>
      <c r="AO900" s="186"/>
      <c r="AQ900" s="186"/>
      <c r="AR900" s="186"/>
      <c r="AS900" s="187"/>
      <c r="AU900" s="186"/>
      <c r="AV900" s="186"/>
      <c r="AW900" s="186"/>
      <c r="AX900" s="186"/>
      <c r="AY900" s="186"/>
      <c r="AZ900" s="186"/>
      <c r="BA900" s="186"/>
      <c r="BC900" s="186"/>
      <c r="BD900" s="186"/>
      <c r="BE900" s="187"/>
    </row>
    <row r="901" spans="6:57" x14ac:dyDescent="0.3">
      <c r="F901" s="185"/>
      <c r="H901" s="186"/>
      <c r="J901" s="186"/>
      <c r="K901" s="186"/>
      <c r="L901" s="186"/>
      <c r="M901" s="186"/>
      <c r="N901" s="186"/>
      <c r="O901" s="187"/>
      <c r="P901" s="186"/>
      <c r="Q901" s="186"/>
      <c r="R901" s="186"/>
      <c r="S901" s="186"/>
      <c r="T901" s="186"/>
      <c r="U901" s="186"/>
      <c r="V901" s="186"/>
      <c r="W901" s="187"/>
      <c r="X901" s="186"/>
      <c r="Y901" s="186"/>
      <c r="Z901" s="185"/>
      <c r="AA901" s="186"/>
      <c r="AB901" s="186"/>
      <c r="AC901" s="186"/>
      <c r="AD901" s="186"/>
      <c r="AE901" s="186"/>
      <c r="AF901" s="186"/>
      <c r="AG901" s="186"/>
      <c r="AH901" s="185"/>
      <c r="AJ901" s="186"/>
      <c r="AK901" s="186"/>
      <c r="AL901" s="186"/>
      <c r="AM901" s="187"/>
      <c r="AN901" s="186"/>
      <c r="AO901" s="186"/>
      <c r="AQ901" s="186"/>
      <c r="AR901" s="186"/>
      <c r="AS901" s="187"/>
      <c r="AU901" s="186"/>
      <c r="AV901" s="186"/>
      <c r="AW901" s="186"/>
      <c r="AX901" s="186"/>
      <c r="AY901" s="186"/>
      <c r="AZ901" s="186"/>
      <c r="BA901" s="186"/>
      <c r="BC901" s="186"/>
      <c r="BD901" s="186"/>
      <c r="BE901" s="187"/>
    </row>
    <row r="902" spans="6:57" x14ac:dyDescent="0.3">
      <c r="F902" s="185"/>
      <c r="H902" s="186"/>
      <c r="J902" s="186"/>
      <c r="K902" s="186"/>
      <c r="L902" s="186"/>
      <c r="M902" s="186"/>
      <c r="N902" s="186"/>
      <c r="O902" s="187"/>
      <c r="P902" s="186"/>
      <c r="Q902" s="186"/>
      <c r="R902" s="186"/>
      <c r="S902" s="186"/>
      <c r="T902" s="186"/>
      <c r="U902" s="186"/>
      <c r="V902" s="186"/>
      <c r="W902" s="187"/>
      <c r="X902" s="186"/>
      <c r="Y902" s="186"/>
      <c r="Z902" s="185"/>
      <c r="AA902" s="186"/>
      <c r="AB902" s="186"/>
      <c r="AC902" s="186"/>
      <c r="AD902" s="186"/>
      <c r="AE902" s="186"/>
      <c r="AF902" s="186"/>
      <c r="AG902" s="186"/>
      <c r="AH902" s="185"/>
      <c r="AJ902" s="186"/>
      <c r="AK902" s="186"/>
      <c r="AL902" s="186"/>
      <c r="AM902" s="187"/>
      <c r="AN902" s="186"/>
      <c r="AO902" s="186"/>
      <c r="AQ902" s="186"/>
      <c r="AR902" s="186"/>
      <c r="AS902" s="187"/>
      <c r="AU902" s="186"/>
      <c r="AV902" s="186"/>
      <c r="AW902" s="186"/>
      <c r="AX902" s="186"/>
      <c r="AY902" s="186"/>
      <c r="AZ902" s="186"/>
      <c r="BA902" s="186"/>
      <c r="BC902" s="186"/>
      <c r="BD902" s="186"/>
      <c r="BE902" s="187"/>
    </row>
    <row r="903" spans="6:57" x14ac:dyDescent="0.3">
      <c r="F903" s="185"/>
      <c r="H903" s="186"/>
      <c r="J903" s="186"/>
      <c r="K903" s="186"/>
      <c r="L903" s="186"/>
      <c r="M903" s="186"/>
      <c r="N903" s="186"/>
      <c r="O903" s="187"/>
      <c r="P903" s="186"/>
      <c r="Q903" s="186"/>
      <c r="R903" s="186"/>
      <c r="S903" s="186"/>
      <c r="T903" s="186"/>
      <c r="U903" s="186"/>
      <c r="V903" s="186"/>
      <c r="W903" s="187"/>
      <c r="X903" s="186"/>
      <c r="Y903" s="186"/>
      <c r="Z903" s="185"/>
      <c r="AA903" s="186"/>
      <c r="AB903" s="186"/>
      <c r="AC903" s="186"/>
      <c r="AD903" s="186"/>
      <c r="AE903" s="186"/>
      <c r="AF903" s="186"/>
      <c r="AG903" s="186"/>
      <c r="AH903" s="185"/>
      <c r="AJ903" s="186"/>
      <c r="AK903" s="186"/>
      <c r="AL903" s="186"/>
      <c r="AM903" s="187"/>
      <c r="AN903" s="186"/>
      <c r="AO903" s="186"/>
      <c r="AQ903" s="186"/>
      <c r="AR903" s="186"/>
      <c r="AS903" s="187"/>
      <c r="AU903" s="186"/>
      <c r="AV903" s="186"/>
      <c r="AW903" s="186"/>
      <c r="AX903" s="186"/>
      <c r="AY903" s="186"/>
      <c r="AZ903" s="186"/>
      <c r="BA903" s="186"/>
      <c r="BC903" s="186"/>
      <c r="BD903" s="186"/>
      <c r="BE903" s="187"/>
    </row>
    <row r="904" spans="6:57" x14ac:dyDescent="0.3">
      <c r="F904" s="185"/>
      <c r="H904" s="186"/>
      <c r="J904" s="186"/>
      <c r="K904" s="186"/>
      <c r="L904" s="186"/>
      <c r="M904" s="186"/>
      <c r="N904" s="186"/>
      <c r="O904" s="187"/>
      <c r="P904" s="186"/>
      <c r="Q904" s="186"/>
      <c r="R904" s="186"/>
      <c r="S904" s="186"/>
      <c r="T904" s="186"/>
      <c r="U904" s="186"/>
      <c r="V904" s="186"/>
      <c r="W904" s="187"/>
      <c r="X904" s="186"/>
      <c r="Y904" s="186"/>
      <c r="Z904" s="185"/>
      <c r="AA904" s="186"/>
      <c r="AB904" s="186"/>
      <c r="AC904" s="186"/>
      <c r="AD904" s="186"/>
      <c r="AE904" s="186"/>
      <c r="AF904" s="186"/>
      <c r="AG904" s="186"/>
      <c r="AH904" s="185"/>
      <c r="AJ904" s="186"/>
      <c r="AK904" s="186"/>
      <c r="AL904" s="186"/>
      <c r="AM904" s="187"/>
      <c r="AN904" s="186"/>
      <c r="AO904" s="186"/>
      <c r="AQ904" s="186"/>
      <c r="AR904" s="186"/>
      <c r="AS904" s="187"/>
      <c r="AU904" s="186"/>
      <c r="AV904" s="186"/>
      <c r="AW904" s="186"/>
      <c r="AX904" s="186"/>
      <c r="AY904" s="186"/>
      <c r="AZ904" s="186"/>
      <c r="BA904" s="186"/>
      <c r="BC904" s="186"/>
      <c r="BD904" s="186"/>
      <c r="BE904" s="187"/>
    </row>
    <row r="905" spans="6:57" x14ac:dyDescent="0.3">
      <c r="F905" s="185"/>
      <c r="H905" s="186"/>
      <c r="J905" s="186"/>
      <c r="K905" s="186"/>
      <c r="L905" s="186"/>
      <c r="M905" s="186"/>
      <c r="N905" s="186"/>
      <c r="O905" s="187"/>
      <c r="P905" s="186"/>
      <c r="Q905" s="186"/>
      <c r="R905" s="186"/>
      <c r="S905" s="186"/>
      <c r="T905" s="186"/>
      <c r="U905" s="186"/>
      <c r="V905" s="186"/>
      <c r="W905" s="187"/>
      <c r="X905" s="186"/>
      <c r="Y905" s="186"/>
      <c r="Z905" s="185"/>
      <c r="AA905" s="186"/>
      <c r="AB905" s="186"/>
      <c r="AC905" s="186"/>
      <c r="AD905" s="186"/>
      <c r="AE905" s="186"/>
      <c r="AF905" s="186"/>
      <c r="AG905" s="186"/>
      <c r="AH905" s="185"/>
      <c r="AJ905" s="186"/>
      <c r="AK905" s="186"/>
      <c r="AL905" s="186"/>
      <c r="AM905" s="187"/>
      <c r="AN905" s="186"/>
      <c r="AO905" s="186"/>
      <c r="AQ905" s="186"/>
      <c r="AR905" s="186"/>
      <c r="AS905" s="187"/>
      <c r="AU905" s="186"/>
      <c r="AV905" s="186"/>
      <c r="AW905" s="186"/>
      <c r="AX905" s="186"/>
      <c r="AY905" s="186"/>
      <c r="AZ905" s="186"/>
      <c r="BA905" s="186"/>
      <c r="BC905" s="186"/>
      <c r="BD905" s="186"/>
      <c r="BE905" s="187"/>
    </row>
    <row r="906" spans="6:57" x14ac:dyDescent="0.3">
      <c r="F906" s="185"/>
      <c r="H906" s="186"/>
      <c r="J906" s="186"/>
      <c r="K906" s="186"/>
      <c r="L906" s="186"/>
      <c r="M906" s="186"/>
      <c r="N906" s="186"/>
      <c r="O906" s="187"/>
      <c r="P906" s="186"/>
      <c r="Q906" s="186"/>
      <c r="R906" s="186"/>
      <c r="S906" s="186"/>
      <c r="T906" s="186"/>
      <c r="U906" s="186"/>
      <c r="V906" s="186"/>
      <c r="W906" s="187"/>
      <c r="X906" s="186"/>
      <c r="Y906" s="186"/>
      <c r="Z906" s="185"/>
      <c r="AA906" s="186"/>
      <c r="AB906" s="186"/>
      <c r="AC906" s="186"/>
      <c r="AD906" s="186"/>
      <c r="AE906" s="186"/>
      <c r="AF906" s="186"/>
      <c r="AG906" s="186"/>
      <c r="AH906" s="185"/>
      <c r="AJ906" s="186"/>
      <c r="AK906" s="186"/>
      <c r="AL906" s="186"/>
      <c r="AM906" s="187"/>
      <c r="AN906" s="186"/>
      <c r="AO906" s="186"/>
      <c r="AQ906" s="186"/>
      <c r="AR906" s="186"/>
      <c r="AS906" s="187"/>
      <c r="AU906" s="186"/>
      <c r="AV906" s="186"/>
      <c r="AW906" s="186"/>
      <c r="AX906" s="186"/>
      <c r="AY906" s="186"/>
      <c r="AZ906" s="186"/>
      <c r="BA906" s="186"/>
      <c r="BC906" s="186"/>
      <c r="BD906" s="186"/>
      <c r="BE906" s="187"/>
    </row>
    <row r="907" spans="6:57" x14ac:dyDescent="0.3">
      <c r="F907" s="185"/>
      <c r="H907" s="186"/>
      <c r="J907" s="186"/>
      <c r="K907" s="186"/>
      <c r="L907" s="186"/>
      <c r="M907" s="186"/>
      <c r="N907" s="186"/>
      <c r="O907" s="187"/>
      <c r="P907" s="186"/>
      <c r="Q907" s="186"/>
      <c r="R907" s="186"/>
      <c r="S907" s="186"/>
      <c r="T907" s="186"/>
      <c r="U907" s="186"/>
      <c r="V907" s="186"/>
      <c r="W907" s="187"/>
      <c r="X907" s="186"/>
      <c r="Y907" s="186"/>
      <c r="Z907" s="185"/>
      <c r="AA907" s="186"/>
      <c r="AB907" s="186"/>
      <c r="AC907" s="186"/>
      <c r="AD907" s="186"/>
      <c r="AE907" s="186"/>
      <c r="AF907" s="186"/>
      <c r="AG907" s="186"/>
      <c r="AH907" s="185"/>
      <c r="AJ907" s="186"/>
      <c r="AK907" s="186"/>
      <c r="AL907" s="186"/>
      <c r="AM907" s="187"/>
      <c r="AN907" s="186"/>
      <c r="AO907" s="186"/>
      <c r="AQ907" s="186"/>
      <c r="AR907" s="186"/>
      <c r="AS907" s="187"/>
      <c r="AU907" s="186"/>
      <c r="AV907" s="186"/>
      <c r="AW907" s="186"/>
      <c r="AX907" s="186"/>
      <c r="AY907" s="186"/>
      <c r="AZ907" s="186"/>
      <c r="BA907" s="186"/>
      <c r="BC907" s="186"/>
      <c r="BD907" s="186"/>
      <c r="BE907" s="187"/>
    </row>
    <row r="908" spans="6:57" x14ac:dyDescent="0.3">
      <c r="F908" s="185"/>
      <c r="H908" s="186"/>
      <c r="J908" s="186"/>
      <c r="K908" s="186"/>
      <c r="L908" s="186"/>
      <c r="M908" s="186"/>
      <c r="N908" s="186"/>
      <c r="O908" s="187"/>
      <c r="P908" s="186"/>
      <c r="Q908" s="186"/>
      <c r="R908" s="186"/>
      <c r="S908" s="186"/>
      <c r="T908" s="186"/>
      <c r="U908" s="186"/>
      <c r="V908" s="186"/>
      <c r="W908" s="187"/>
      <c r="X908" s="186"/>
      <c r="Y908" s="186"/>
      <c r="Z908" s="185"/>
      <c r="AA908" s="186"/>
      <c r="AB908" s="186"/>
      <c r="AC908" s="186"/>
      <c r="AD908" s="186"/>
      <c r="AE908" s="186"/>
      <c r="AF908" s="186"/>
      <c r="AG908" s="186"/>
      <c r="AH908" s="185"/>
      <c r="AJ908" s="186"/>
      <c r="AK908" s="186"/>
      <c r="AL908" s="186"/>
      <c r="AM908" s="187"/>
      <c r="AN908" s="186"/>
      <c r="AO908" s="186"/>
      <c r="AQ908" s="186"/>
      <c r="AR908" s="186"/>
      <c r="AS908" s="187"/>
      <c r="AU908" s="186"/>
      <c r="AV908" s="186"/>
      <c r="AW908" s="186"/>
      <c r="AX908" s="186"/>
      <c r="AY908" s="186"/>
      <c r="AZ908" s="186"/>
      <c r="BA908" s="186"/>
      <c r="BC908" s="186"/>
      <c r="BD908" s="186"/>
      <c r="BE908" s="187"/>
    </row>
    <row r="909" spans="6:57" x14ac:dyDescent="0.3">
      <c r="F909" s="185"/>
      <c r="H909" s="186"/>
      <c r="J909" s="186"/>
      <c r="K909" s="186"/>
      <c r="L909" s="186"/>
      <c r="M909" s="186"/>
      <c r="N909" s="186"/>
      <c r="O909" s="187"/>
      <c r="P909" s="186"/>
      <c r="Q909" s="186"/>
      <c r="R909" s="186"/>
      <c r="S909" s="186"/>
      <c r="T909" s="186"/>
      <c r="U909" s="186"/>
      <c r="V909" s="186"/>
      <c r="W909" s="187"/>
      <c r="X909" s="186"/>
      <c r="Y909" s="186"/>
      <c r="Z909" s="185"/>
      <c r="AA909" s="186"/>
      <c r="AB909" s="186"/>
      <c r="AC909" s="186"/>
      <c r="AD909" s="186"/>
      <c r="AE909" s="186"/>
      <c r="AF909" s="186"/>
      <c r="AG909" s="186"/>
      <c r="AH909" s="185"/>
      <c r="AJ909" s="186"/>
      <c r="AK909" s="186"/>
      <c r="AL909" s="186"/>
      <c r="AM909" s="187"/>
      <c r="AN909" s="186"/>
      <c r="AO909" s="186"/>
      <c r="AQ909" s="186"/>
      <c r="AR909" s="186"/>
      <c r="AS909" s="187"/>
      <c r="AU909" s="186"/>
      <c r="AV909" s="186"/>
      <c r="AW909" s="186"/>
      <c r="AX909" s="186"/>
      <c r="AY909" s="186"/>
      <c r="AZ909" s="186"/>
      <c r="BA909" s="186"/>
      <c r="BC909" s="186"/>
      <c r="BD909" s="186"/>
      <c r="BE909" s="187"/>
    </row>
    <row r="910" spans="6:57" x14ac:dyDescent="0.3">
      <c r="F910" s="185"/>
      <c r="H910" s="186"/>
      <c r="J910" s="186"/>
      <c r="K910" s="186"/>
      <c r="L910" s="186"/>
      <c r="M910" s="186"/>
      <c r="N910" s="186"/>
      <c r="O910" s="187"/>
      <c r="P910" s="186"/>
      <c r="Q910" s="186"/>
      <c r="R910" s="186"/>
      <c r="S910" s="186"/>
      <c r="T910" s="186"/>
      <c r="U910" s="186"/>
      <c r="V910" s="186"/>
      <c r="W910" s="187"/>
      <c r="X910" s="186"/>
      <c r="Y910" s="186"/>
      <c r="Z910" s="185"/>
      <c r="AA910" s="186"/>
      <c r="AB910" s="186"/>
      <c r="AC910" s="186"/>
      <c r="AD910" s="186"/>
      <c r="AE910" s="186"/>
      <c r="AF910" s="186"/>
      <c r="AG910" s="186"/>
      <c r="AH910" s="185"/>
      <c r="AJ910" s="186"/>
      <c r="AK910" s="186"/>
      <c r="AL910" s="186"/>
      <c r="AM910" s="187"/>
      <c r="AN910" s="186"/>
      <c r="AO910" s="186"/>
      <c r="AQ910" s="186"/>
      <c r="AR910" s="186"/>
      <c r="AS910" s="187"/>
      <c r="AU910" s="186"/>
      <c r="AV910" s="186"/>
      <c r="AW910" s="186"/>
      <c r="AX910" s="186"/>
      <c r="AY910" s="186"/>
      <c r="AZ910" s="186"/>
      <c r="BA910" s="186"/>
      <c r="BC910" s="186"/>
      <c r="BD910" s="186"/>
      <c r="BE910" s="187"/>
    </row>
    <row r="911" spans="6:57" x14ac:dyDescent="0.3">
      <c r="F911" s="185"/>
      <c r="H911" s="186"/>
      <c r="J911" s="186"/>
      <c r="K911" s="186"/>
      <c r="L911" s="186"/>
      <c r="M911" s="186"/>
      <c r="N911" s="186"/>
      <c r="O911" s="187"/>
      <c r="P911" s="186"/>
      <c r="Q911" s="186"/>
      <c r="R911" s="186"/>
      <c r="S911" s="186"/>
      <c r="T911" s="186"/>
      <c r="U911" s="186"/>
      <c r="V911" s="186"/>
      <c r="W911" s="187"/>
      <c r="X911" s="186"/>
      <c r="Y911" s="186"/>
      <c r="Z911" s="185"/>
      <c r="AA911" s="186"/>
      <c r="AB911" s="186"/>
      <c r="AC911" s="186"/>
      <c r="AD911" s="186"/>
      <c r="AE911" s="186"/>
      <c r="AF911" s="186"/>
      <c r="AG911" s="186"/>
      <c r="AH911" s="185"/>
      <c r="AJ911" s="186"/>
      <c r="AK911" s="186"/>
      <c r="AL911" s="186"/>
      <c r="AM911" s="187"/>
      <c r="AN911" s="186"/>
      <c r="AO911" s="186"/>
      <c r="AQ911" s="186"/>
      <c r="AR911" s="186"/>
      <c r="AS911" s="187"/>
      <c r="AU911" s="186"/>
      <c r="AV911" s="186"/>
      <c r="AW911" s="186"/>
      <c r="AX911" s="186"/>
      <c r="AY911" s="186"/>
      <c r="AZ911" s="186"/>
      <c r="BA911" s="186"/>
      <c r="BC911" s="186"/>
      <c r="BD911" s="186"/>
      <c r="BE911" s="187"/>
    </row>
    <row r="912" spans="6:57" x14ac:dyDescent="0.3">
      <c r="F912" s="185"/>
      <c r="H912" s="186"/>
      <c r="J912" s="186"/>
      <c r="K912" s="186"/>
      <c r="L912" s="186"/>
      <c r="M912" s="186"/>
      <c r="N912" s="186"/>
      <c r="O912" s="187"/>
      <c r="P912" s="186"/>
      <c r="Q912" s="186"/>
      <c r="R912" s="186"/>
      <c r="S912" s="186"/>
      <c r="T912" s="186"/>
      <c r="U912" s="186"/>
      <c r="V912" s="186"/>
      <c r="W912" s="187"/>
      <c r="X912" s="186"/>
      <c r="Y912" s="186"/>
      <c r="Z912" s="185"/>
      <c r="AA912" s="186"/>
      <c r="AB912" s="186"/>
      <c r="AC912" s="186"/>
      <c r="AD912" s="186"/>
      <c r="AE912" s="186"/>
      <c r="AF912" s="186"/>
      <c r="AG912" s="186"/>
      <c r="AH912" s="185"/>
      <c r="AJ912" s="186"/>
      <c r="AK912" s="186"/>
      <c r="AL912" s="186"/>
      <c r="AM912" s="187"/>
      <c r="AN912" s="186"/>
      <c r="AO912" s="186"/>
      <c r="AQ912" s="186"/>
      <c r="AR912" s="186"/>
      <c r="AS912" s="187"/>
      <c r="AU912" s="186"/>
      <c r="AV912" s="186"/>
      <c r="AW912" s="186"/>
      <c r="AX912" s="186"/>
      <c r="AY912" s="186"/>
      <c r="AZ912" s="186"/>
      <c r="BA912" s="186"/>
      <c r="BC912" s="186"/>
      <c r="BD912" s="186"/>
      <c r="BE912" s="187"/>
    </row>
    <row r="913" spans="6:57" x14ac:dyDescent="0.3">
      <c r="F913" s="185"/>
      <c r="H913" s="186"/>
      <c r="J913" s="186"/>
      <c r="K913" s="186"/>
      <c r="L913" s="186"/>
      <c r="M913" s="186"/>
      <c r="N913" s="186"/>
      <c r="O913" s="187"/>
      <c r="P913" s="186"/>
      <c r="Q913" s="186"/>
      <c r="R913" s="186"/>
      <c r="S913" s="186"/>
      <c r="T913" s="186"/>
      <c r="U913" s="186"/>
      <c r="V913" s="186"/>
      <c r="W913" s="187"/>
      <c r="X913" s="186"/>
      <c r="Y913" s="186"/>
      <c r="Z913" s="185"/>
      <c r="AA913" s="186"/>
      <c r="AB913" s="186"/>
      <c r="AC913" s="186"/>
      <c r="AD913" s="186"/>
      <c r="AE913" s="186"/>
      <c r="AF913" s="186"/>
      <c r="AG913" s="186"/>
      <c r="AH913" s="185"/>
      <c r="AJ913" s="186"/>
      <c r="AK913" s="186"/>
      <c r="AL913" s="186"/>
      <c r="AM913" s="187"/>
      <c r="AN913" s="186"/>
      <c r="AO913" s="186"/>
      <c r="AQ913" s="186"/>
      <c r="AR913" s="186"/>
      <c r="AS913" s="187"/>
      <c r="AU913" s="186"/>
      <c r="AV913" s="186"/>
      <c r="AW913" s="186"/>
      <c r="AX913" s="186"/>
      <c r="AY913" s="186"/>
      <c r="AZ913" s="186"/>
      <c r="BA913" s="186"/>
      <c r="BC913" s="186"/>
      <c r="BD913" s="186"/>
      <c r="BE913" s="187"/>
    </row>
    <row r="914" spans="6:57" x14ac:dyDescent="0.3">
      <c r="F914" s="185"/>
      <c r="H914" s="186"/>
      <c r="J914" s="186"/>
      <c r="K914" s="186"/>
      <c r="L914" s="186"/>
      <c r="M914" s="186"/>
      <c r="N914" s="186"/>
      <c r="O914" s="187"/>
      <c r="P914" s="186"/>
      <c r="Q914" s="186"/>
      <c r="R914" s="186"/>
      <c r="S914" s="186"/>
      <c r="T914" s="186"/>
      <c r="U914" s="186"/>
      <c r="V914" s="186"/>
      <c r="W914" s="187"/>
      <c r="X914" s="186"/>
      <c r="Y914" s="186"/>
      <c r="Z914" s="185"/>
      <c r="AA914" s="186"/>
      <c r="AB914" s="186"/>
      <c r="AC914" s="186"/>
      <c r="AD914" s="186"/>
      <c r="AE914" s="186"/>
      <c r="AF914" s="186"/>
      <c r="AG914" s="186"/>
      <c r="AH914" s="185"/>
      <c r="AJ914" s="186"/>
      <c r="AK914" s="186"/>
      <c r="AL914" s="186"/>
      <c r="AM914" s="187"/>
      <c r="AN914" s="186"/>
      <c r="AO914" s="186"/>
      <c r="AQ914" s="186"/>
      <c r="AR914" s="186"/>
      <c r="AS914" s="187"/>
      <c r="AU914" s="186"/>
      <c r="AV914" s="186"/>
      <c r="AW914" s="186"/>
      <c r="AX914" s="186"/>
      <c r="AY914" s="186"/>
      <c r="AZ914" s="186"/>
      <c r="BA914" s="186"/>
      <c r="BC914" s="186"/>
      <c r="BD914" s="186"/>
      <c r="BE914" s="187"/>
    </row>
    <row r="915" spans="6:57" x14ac:dyDescent="0.3">
      <c r="F915" s="185"/>
      <c r="H915" s="186"/>
      <c r="J915" s="186"/>
      <c r="K915" s="186"/>
      <c r="L915" s="186"/>
      <c r="M915" s="186"/>
      <c r="N915" s="186"/>
      <c r="O915" s="187"/>
      <c r="P915" s="186"/>
      <c r="Q915" s="186"/>
      <c r="R915" s="186"/>
      <c r="S915" s="186"/>
      <c r="T915" s="186"/>
      <c r="U915" s="186"/>
      <c r="V915" s="186"/>
      <c r="W915" s="187"/>
      <c r="X915" s="186"/>
      <c r="Y915" s="186"/>
      <c r="Z915" s="185"/>
      <c r="AA915" s="186"/>
      <c r="AB915" s="186"/>
      <c r="AC915" s="186"/>
      <c r="AD915" s="186"/>
      <c r="AE915" s="186"/>
      <c r="AF915" s="186"/>
      <c r="AG915" s="186"/>
      <c r="AH915" s="185"/>
      <c r="AJ915" s="186"/>
      <c r="AK915" s="186"/>
      <c r="AL915" s="186"/>
      <c r="AM915" s="187"/>
      <c r="AN915" s="186"/>
      <c r="AO915" s="186"/>
      <c r="AQ915" s="186"/>
      <c r="AR915" s="186"/>
      <c r="AS915" s="187"/>
      <c r="AU915" s="186"/>
      <c r="AV915" s="186"/>
      <c r="AW915" s="186"/>
      <c r="AX915" s="186"/>
      <c r="AY915" s="186"/>
      <c r="AZ915" s="186"/>
      <c r="BA915" s="186"/>
      <c r="BC915" s="186"/>
      <c r="BD915" s="186"/>
      <c r="BE915" s="187"/>
    </row>
    <row r="916" spans="6:57" x14ac:dyDescent="0.3">
      <c r="F916" s="185"/>
      <c r="H916" s="186"/>
      <c r="J916" s="186"/>
      <c r="K916" s="186"/>
      <c r="L916" s="186"/>
      <c r="M916" s="186"/>
      <c r="N916" s="186"/>
      <c r="O916" s="187"/>
      <c r="P916" s="186"/>
      <c r="Q916" s="186"/>
      <c r="R916" s="186"/>
      <c r="S916" s="186"/>
      <c r="T916" s="186"/>
      <c r="U916" s="186"/>
      <c r="V916" s="186"/>
      <c r="W916" s="187"/>
      <c r="X916" s="186"/>
      <c r="Y916" s="186"/>
      <c r="Z916" s="185"/>
      <c r="AA916" s="186"/>
      <c r="AB916" s="186"/>
      <c r="AC916" s="186"/>
      <c r="AD916" s="186"/>
      <c r="AE916" s="186"/>
      <c r="AF916" s="186"/>
      <c r="AG916" s="186"/>
      <c r="AH916" s="185"/>
      <c r="AJ916" s="186"/>
      <c r="AK916" s="186"/>
      <c r="AL916" s="186"/>
      <c r="AM916" s="187"/>
      <c r="AN916" s="186"/>
      <c r="AO916" s="186"/>
      <c r="AQ916" s="186"/>
      <c r="AR916" s="186"/>
      <c r="AS916" s="187"/>
      <c r="AU916" s="186"/>
      <c r="AV916" s="186"/>
      <c r="AW916" s="186"/>
      <c r="AX916" s="186"/>
      <c r="AY916" s="186"/>
      <c r="AZ916" s="186"/>
      <c r="BA916" s="186"/>
      <c r="BC916" s="186"/>
      <c r="BD916" s="186"/>
      <c r="BE916" s="187"/>
    </row>
    <row r="917" spans="6:57" x14ac:dyDescent="0.3">
      <c r="F917" s="185"/>
      <c r="H917" s="186"/>
      <c r="J917" s="186"/>
      <c r="K917" s="186"/>
      <c r="L917" s="186"/>
      <c r="M917" s="186"/>
      <c r="N917" s="186"/>
      <c r="O917" s="187"/>
      <c r="P917" s="186"/>
      <c r="Q917" s="186"/>
      <c r="R917" s="186"/>
      <c r="S917" s="186"/>
      <c r="T917" s="186"/>
      <c r="U917" s="186"/>
      <c r="V917" s="186"/>
      <c r="W917" s="187"/>
      <c r="X917" s="186"/>
      <c r="Y917" s="186"/>
      <c r="Z917" s="185"/>
      <c r="AA917" s="186"/>
      <c r="AB917" s="186"/>
      <c r="AC917" s="186"/>
      <c r="AD917" s="186"/>
      <c r="AE917" s="186"/>
      <c r="AF917" s="186"/>
      <c r="AG917" s="186"/>
      <c r="AH917" s="185"/>
      <c r="AJ917" s="186"/>
      <c r="AK917" s="186"/>
      <c r="AL917" s="186"/>
      <c r="AM917" s="187"/>
      <c r="AN917" s="186"/>
      <c r="AO917" s="186"/>
      <c r="AQ917" s="186"/>
      <c r="AR917" s="186"/>
      <c r="AS917" s="187"/>
      <c r="AU917" s="186"/>
      <c r="AV917" s="186"/>
      <c r="AW917" s="186"/>
      <c r="AX917" s="186"/>
      <c r="AY917" s="186"/>
      <c r="AZ917" s="186"/>
      <c r="BA917" s="186"/>
      <c r="BC917" s="186"/>
      <c r="BD917" s="186"/>
      <c r="BE917" s="187"/>
    </row>
    <row r="918" spans="6:57" x14ac:dyDescent="0.3">
      <c r="F918" s="185"/>
      <c r="H918" s="186"/>
      <c r="J918" s="186"/>
      <c r="K918" s="186"/>
      <c r="L918" s="186"/>
      <c r="M918" s="186"/>
      <c r="N918" s="186"/>
      <c r="O918" s="187"/>
      <c r="P918" s="186"/>
      <c r="Q918" s="186"/>
      <c r="R918" s="186"/>
      <c r="S918" s="186"/>
      <c r="T918" s="186"/>
      <c r="U918" s="186"/>
      <c r="V918" s="186"/>
      <c r="W918" s="187"/>
      <c r="X918" s="186"/>
      <c r="Y918" s="186"/>
      <c r="Z918" s="185"/>
      <c r="AA918" s="186"/>
      <c r="AB918" s="186"/>
      <c r="AC918" s="186"/>
      <c r="AD918" s="186"/>
      <c r="AE918" s="186"/>
      <c r="AF918" s="186"/>
      <c r="AG918" s="186"/>
      <c r="AH918" s="185"/>
      <c r="AJ918" s="186"/>
      <c r="AK918" s="186"/>
      <c r="AL918" s="186"/>
      <c r="AM918" s="187"/>
      <c r="AN918" s="186"/>
      <c r="AO918" s="186"/>
      <c r="AQ918" s="186"/>
      <c r="AR918" s="186"/>
      <c r="AS918" s="187"/>
      <c r="AU918" s="186"/>
      <c r="AV918" s="186"/>
      <c r="AW918" s="186"/>
      <c r="AX918" s="186"/>
      <c r="AY918" s="186"/>
      <c r="AZ918" s="186"/>
      <c r="BA918" s="186"/>
      <c r="BC918" s="186"/>
      <c r="BD918" s="186"/>
      <c r="BE918" s="187"/>
    </row>
    <row r="919" spans="6:57" x14ac:dyDescent="0.3">
      <c r="F919" s="185"/>
      <c r="H919" s="186"/>
      <c r="J919" s="186"/>
      <c r="K919" s="186"/>
      <c r="L919" s="186"/>
      <c r="M919" s="186"/>
      <c r="N919" s="186"/>
      <c r="O919" s="187"/>
      <c r="P919" s="186"/>
      <c r="Q919" s="186"/>
      <c r="R919" s="186"/>
      <c r="S919" s="186"/>
      <c r="T919" s="186"/>
      <c r="U919" s="186"/>
      <c r="V919" s="186"/>
      <c r="W919" s="187"/>
      <c r="X919" s="186"/>
      <c r="Y919" s="186"/>
      <c r="Z919" s="185"/>
      <c r="AA919" s="186"/>
      <c r="AB919" s="186"/>
      <c r="AC919" s="186"/>
      <c r="AD919" s="186"/>
      <c r="AE919" s="186"/>
      <c r="AF919" s="186"/>
      <c r="AG919" s="186"/>
      <c r="AH919" s="185"/>
      <c r="AJ919" s="186"/>
      <c r="AK919" s="186"/>
      <c r="AL919" s="186"/>
      <c r="AM919" s="187"/>
      <c r="AN919" s="186"/>
      <c r="AO919" s="186"/>
      <c r="AQ919" s="186"/>
      <c r="AR919" s="186"/>
      <c r="AS919" s="187"/>
      <c r="AU919" s="186"/>
      <c r="AV919" s="186"/>
      <c r="AW919" s="186"/>
      <c r="AX919" s="186"/>
      <c r="AY919" s="186"/>
      <c r="AZ919" s="186"/>
      <c r="BA919" s="186"/>
      <c r="BC919" s="186"/>
      <c r="BD919" s="186"/>
      <c r="BE919" s="187"/>
    </row>
    <row r="920" spans="6:57" x14ac:dyDescent="0.3">
      <c r="F920" s="185"/>
      <c r="H920" s="186"/>
      <c r="J920" s="186"/>
      <c r="K920" s="186"/>
      <c r="L920" s="186"/>
      <c r="M920" s="186"/>
      <c r="N920" s="186"/>
      <c r="O920" s="187"/>
      <c r="P920" s="186"/>
      <c r="Q920" s="186"/>
      <c r="R920" s="186"/>
      <c r="S920" s="186"/>
      <c r="T920" s="186"/>
      <c r="U920" s="186"/>
      <c r="V920" s="186"/>
      <c r="W920" s="187"/>
      <c r="X920" s="186"/>
      <c r="Y920" s="186"/>
      <c r="Z920" s="185"/>
      <c r="AA920" s="186"/>
      <c r="AB920" s="186"/>
      <c r="AC920" s="186"/>
      <c r="AD920" s="186"/>
      <c r="AE920" s="186"/>
      <c r="AF920" s="186"/>
      <c r="AG920" s="186"/>
      <c r="AH920" s="185"/>
      <c r="AJ920" s="186"/>
      <c r="AK920" s="186"/>
      <c r="AL920" s="186"/>
      <c r="AM920" s="187"/>
      <c r="AN920" s="186"/>
      <c r="AO920" s="186"/>
      <c r="AQ920" s="186"/>
      <c r="AR920" s="186"/>
      <c r="AS920" s="187"/>
      <c r="AU920" s="186"/>
      <c r="AV920" s="186"/>
      <c r="AW920" s="186"/>
      <c r="AX920" s="186"/>
      <c r="AY920" s="186"/>
      <c r="AZ920" s="186"/>
      <c r="BA920" s="186"/>
      <c r="BC920" s="186"/>
      <c r="BD920" s="186"/>
      <c r="BE920" s="187"/>
    </row>
    <row r="921" spans="6:57" x14ac:dyDescent="0.3">
      <c r="F921" s="185"/>
      <c r="H921" s="186"/>
      <c r="J921" s="186"/>
      <c r="K921" s="186"/>
      <c r="L921" s="186"/>
      <c r="M921" s="186"/>
      <c r="N921" s="186"/>
      <c r="O921" s="187"/>
      <c r="P921" s="186"/>
      <c r="Q921" s="186"/>
      <c r="R921" s="186"/>
      <c r="S921" s="186"/>
      <c r="T921" s="186"/>
      <c r="U921" s="186"/>
      <c r="V921" s="186"/>
      <c r="W921" s="187"/>
      <c r="X921" s="186"/>
      <c r="Y921" s="186"/>
      <c r="Z921" s="185"/>
      <c r="AA921" s="186"/>
      <c r="AB921" s="186"/>
      <c r="AC921" s="186"/>
      <c r="AD921" s="186"/>
      <c r="AE921" s="186"/>
      <c r="AF921" s="186"/>
      <c r="AG921" s="186"/>
      <c r="AH921" s="185"/>
      <c r="AJ921" s="186"/>
      <c r="AK921" s="186"/>
      <c r="AL921" s="186"/>
      <c r="AM921" s="187"/>
      <c r="AN921" s="186"/>
      <c r="AO921" s="186"/>
      <c r="AQ921" s="186"/>
      <c r="AR921" s="186"/>
      <c r="AS921" s="187"/>
      <c r="AU921" s="186"/>
      <c r="AV921" s="186"/>
      <c r="AW921" s="186"/>
      <c r="AX921" s="186"/>
      <c r="AY921" s="186"/>
      <c r="AZ921" s="186"/>
      <c r="BA921" s="186"/>
      <c r="BC921" s="186"/>
      <c r="BD921" s="186"/>
      <c r="BE921" s="187"/>
    </row>
    <row r="922" spans="6:57" x14ac:dyDescent="0.3">
      <c r="F922" s="185"/>
      <c r="H922" s="186"/>
      <c r="J922" s="186"/>
      <c r="K922" s="186"/>
      <c r="L922" s="186"/>
      <c r="M922" s="186"/>
      <c r="N922" s="186"/>
      <c r="O922" s="187"/>
      <c r="P922" s="186"/>
      <c r="Q922" s="186"/>
      <c r="R922" s="186"/>
      <c r="S922" s="186"/>
      <c r="T922" s="186"/>
      <c r="U922" s="186"/>
      <c r="V922" s="186"/>
      <c r="W922" s="187"/>
      <c r="X922" s="186"/>
      <c r="Y922" s="186"/>
      <c r="Z922" s="185"/>
      <c r="AA922" s="186"/>
      <c r="AB922" s="186"/>
      <c r="AC922" s="186"/>
      <c r="AD922" s="186"/>
      <c r="AE922" s="186"/>
      <c r="AF922" s="186"/>
      <c r="AG922" s="186"/>
      <c r="AH922" s="185"/>
      <c r="AJ922" s="186"/>
      <c r="AK922" s="186"/>
      <c r="AL922" s="186"/>
      <c r="AM922" s="187"/>
      <c r="AN922" s="186"/>
      <c r="AO922" s="186"/>
      <c r="AQ922" s="186"/>
      <c r="AR922" s="186"/>
      <c r="AS922" s="187"/>
      <c r="AU922" s="186"/>
      <c r="AV922" s="186"/>
      <c r="AW922" s="186"/>
      <c r="AX922" s="186"/>
      <c r="AY922" s="186"/>
      <c r="AZ922" s="186"/>
      <c r="BA922" s="186"/>
      <c r="BC922" s="186"/>
      <c r="BD922" s="186"/>
      <c r="BE922" s="187"/>
    </row>
    <row r="923" spans="6:57" x14ac:dyDescent="0.3">
      <c r="F923" s="185"/>
      <c r="H923" s="186"/>
      <c r="J923" s="186"/>
      <c r="K923" s="186"/>
      <c r="L923" s="186"/>
      <c r="M923" s="186"/>
      <c r="N923" s="186"/>
      <c r="O923" s="187"/>
      <c r="P923" s="186"/>
      <c r="Q923" s="186"/>
      <c r="R923" s="186"/>
      <c r="S923" s="186"/>
      <c r="T923" s="186"/>
      <c r="U923" s="186"/>
      <c r="V923" s="186"/>
      <c r="W923" s="187"/>
      <c r="X923" s="186"/>
      <c r="Y923" s="186"/>
      <c r="Z923" s="185"/>
      <c r="AA923" s="186"/>
      <c r="AB923" s="186"/>
      <c r="AC923" s="186"/>
      <c r="AD923" s="186"/>
      <c r="AE923" s="186"/>
      <c r="AF923" s="186"/>
      <c r="AG923" s="186"/>
      <c r="AH923" s="185"/>
      <c r="AJ923" s="186"/>
      <c r="AK923" s="186"/>
      <c r="AL923" s="186"/>
      <c r="AM923" s="187"/>
      <c r="AN923" s="186"/>
      <c r="AO923" s="186"/>
      <c r="AQ923" s="186"/>
      <c r="AR923" s="186"/>
      <c r="AS923" s="187"/>
      <c r="AU923" s="186"/>
      <c r="AV923" s="186"/>
      <c r="AW923" s="186"/>
      <c r="AX923" s="186"/>
      <c r="AY923" s="186"/>
      <c r="AZ923" s="186"/>
      <c r="BA923" s="186"/>
      <c r="BC923" s="186"/>
      <c r="BD923" s="186"/>
      <c r="BE923" s="187"/>
    </row>
    <row r="924" spans="6:57" x14ac:dyDescent="0.3">
      <c r="F924" s="185"/>
      <c r="H924" s="186"/>
      <c r="J924" s="186"/>
      <c r="K924" s="186"/>
      <c r="L924" s="186"/>
      <c r="M924" s="186"/>
      <c r="N924" s="186"/>
      <c r="O924" s="187"/>
      <c r="P924" s="186"/>
      <c r="Q924" s="186"/>
      <c r="R924" s="186"/>
      <c r="S924" s="186"/>
      <c r="T924" s="186"/>
      <c r="U924" s="186"/>
      <c r="V924" s="186"/>
      <c r="W924" s="187"/>
      <c r="X924" s="186"/>
      <c r="Y924" s="186"/>
      <c r="Z924" s="185"/>
      <c r="AA924" s="186"/>
      <c r="AB924" s="186"/>
      <c r="AC924" s="186"/>
      <c r="AD924" s="186"/>
      <c r="AE924" s="186"/>
      <c r="AF924" s="186"/>
      <c r="AG924" s="186"/>
      <c r="AH924" s="185"/>
      <c r="AJ924" s="186"/>
      <c r="AK924" s="186"/>
      <c r="AL924" s="186"/>
      <c r="AM924" s="187"/>
      <c r="AN924" s="186"/>
      <c r="AO924" s="186"/>
      <c r="AQ924" s="186"/>
      <c r="AR924" s="186"/>
      <c r="AS924" s="187"/>
      <c r="AU924" s="186"/>
      <c r="AV924" s="186"/>
      <c r="AW924" s="186"/>
      <c r="AX924" s="186"/>
      <c r="AY924" s="186"/>
      <c r="AZ924" s="186"/>
      <c r="BA924" s="186"/>
      <c r="BC924" s="186"/>
      <c r="BD924" s="186"/>
      <c r="BE924" s="187"/>
    </row>
    <row r="925" spans="6:57" x14ac:dyDescent="0.3">
      <c r="F925" s="185"/>
      <c r="H925" s="186"/>
      <c r="J925" s="186"/>
      <c r="K925" s="186"/>
      <c r="L925" s="186"/>
      <c r="M925" s="186"/>
      <c r="N925" s="186"/>
      <c r="O925" s="187"/>
      <c r="P925" s="186"/>
      <c r="Q925" s="186"/>
      <c r="R925" s="186"/>
      <c r="S925" s="186"/>
      <c r="T925" s="186"/>
      <c r="U925" s="186"/>
      <c r="V925" s="186"/>
      <c r="W925" s="187"/>
      <c r="X925" s="186"/>
      <c r="Y925" s="186"/>
      <c r="Z925" s="185"/>
      <c r="AA925" s="186"/>
      <c r="AB925" s="186"/>
      <c r="AC925" s="186"/>
      <c r="AD925" s="186"/>
      <c r="AE925" s="186"/>
      <c r="AF925" s="186"/>
      <c r="AG925" s="186"/>
      <c r="AH925" s="185"/>
      <c r="AJ925" s="186"/>
      <c r="AK925" s="186"/>
      <c r="AL925" s="186"/>
      <c r="AM925" s="187"/>
      <c r="AN925" s="186"/>
      <c r="AO925" s="186"/>
      <c r="AQ925" s="186"/>
      <c r="AR925" s="186"/>
      <c r="AS925" s="187"/>
      <c r="AU925" s="186"/>
      <c r="AV925" s="186"/>
      <c r="AW925" s="186"/>
      <c r="AX925" s="186"/>
      <c r="AY925" s="186"/>
      <c r="AZ925" s="186"/>
      <c r="BA925" s="186"/>
      <c r="BC925" s="186"/>
      <c r="BD925" s="186"/>
      <c r="BE925" s="187"/>
    </row>
    <row r="926" spans="6:57" x14ac:dyDescent="0.3">
      <c r="F926" s="185"/>
      <c r="H926" s="186"/>
      <c r="J926" s="186"/>
      <c r="K926" s="186"/>
      <c r="L926" s="186"/>
      <c r="M926" s="186"/>
      <c r="N926" s="186"/>
      <c r="O926" s="187"/>
      <c r="P926" s="186"/>
      <c r="Q926" s="186"/>
      <c r="R926" s="186"/>
      <c r="S926" s="186"/>
      <c r="T926" s="186"/>
      <c r="U926" s="186"/>
      <c r="V926" s="186"/>
      <c r="W926" s="187"/>
      <c r="X926" s="186"/>
      <c r="Y926" s="186"/>
      <c r="Z926" s="185"/>
      <c r="AA926" s="186"/>
      <c r="AB926" s="186"/>
      <c r="AC926" s="186"/>
      <c r="AD926" s="186"/>
      <c r="AE926" s="186"/>
      <c r="AF926" s="186"/>
      <c r="AG926" s="186"/>
      <c r="AH926" s="185"/>
      <c r="AJ926" s="186"/>
      <c r="AK926" s="186"/>
      <c r="AL926" s="186"/>
      <c r="AM926" s="187"/>
      <c r="AN926" s="186"/>
      <c r="AO926" s="186"/>
      <c r="AQ926" s="186"/>
      <c r="AR926" s="186"/>
      <c r="AS926" s="187"/>
      <c r="AU926" s="186"/>
      <c r="AV926" s="186"/>
      <c r="AW926" s="186"/>
      <c r="AX926" s="186"/>
      <c r="AY926" s="186"/>
      <c r="AZ926" s="186"/>
      <c r="BA926" s="186"/>
      <c r="BC926" s="186"/>
      <c r="BD926" s="186"/>
      <c r="BE926" s="187"/>
    </row>
    <row r="927" spans="6:57" x14ac:dyDescent="0.3">
      <c r="F927" s="185"/>
      <c r="H927" s="186"/>
      <c r="J927" s="186"/>
      <c r="K927" s="186"/>
      <c r="L927" s="186"/>
      <c r="M927" s="186"/>
      <c r="N927" s="186"/>
      <c r="O927" s="187"/>
      <c r="P927" s="186"/>
      <c r="Q927" s="186"/>
      <c r="R927" s="186"/>
      <c r="S927" s="186"/>
      <c r="T927" s="186"/>
      <c r="U927" s="186"/>
      <c r="V927" s="186"/>
      <c r="W927" s="187"/>
      <c r="X927" s="186"/>
      <c r="Y927" s="186"/>
      <c r="Z927" s="185"/>
      <c r="AA927" s="186"/>
      <c r="AB927" s="186"/>
      <c r="AC927" s="186"/>
      <c r="AD927" s="186"/>
      <c r="AE927" s="186"/>
      <c r="AF927" s="186"/>
      <c r="AG927" s="186"/>
      <c r="AH927" s="185"/>
      <c r="AJ927" s="186"/>
      <c r="AK927" s="186"/>
      <c r="AL927" s="186"/>
      <c r="AM927" s="187"/>
      <c r="AN927" s="186"/>
      <c r="AO927" s="186"/>
      <c r="AQ927" s="186"/>
      <c r="AR927" s="186"/>
      <c r="AS927" s="187"/>
      <c r="AU927" s="186"/>
      <c r="AV927" s="186"/>
      <c r="AW927" s="186"/>
      <c r="AX927" s="186"/>
      <c r="AY927" s="186"/>
      <c r="AZ927" s="186"/>
      <c r="BA927" s="186"/>
      <c r="BC927" s="186"/>
      <c r="BD927" s="186"/>
      <c r="BE927" s="187"/>
    </row>
    <row r="928" spans="6:57" x14ac:dyDescent="0.3">
      <c r="F928" s="185"/>
      <c r="H928" s="186"/>
      <c r="J928" s="186"/>
      <c r="K928" s="186"/>
      <c r="L928" s="186"/>
      <c r="M928" s="186"/>
      <c r="N928" s="186"/>
      <c r="O928" s="187"/>
      <c r="P928" s="186"/>
      <c r="Q928" s="186"/>
      <c r="R928" s="186"/>
      <c r="S928" s="186"/>
      <c r="T928" s="186"/>
      <c r="U928" s="186"/>
      <c r="V928" s="186"/>
      <c r="W928" s="187"/>
      <c r="X928" s="186"/>
      <c r="Y928" s="186"/>
      <c r="Z928" s="185"/>
      <c r="AA928" s="186"/>
      <c r="AB928" s="186"/>
      <c r="AC928" s="186"/>
      <c r="AD928" s="186"/>
      <c r="AE928" s="186"/>
      <c r="AF928" s="186"/>
      <c r="AG928" s="186"/>
      <c r="AH928" s="185"/>
      <c r="AJ928" s="186"/>
      <c r="AK928" s="186"/>
      <c r="AL928" s="186"/>
      <c r="AM928" s="187"/>
      <c r="AN928" s="186"/>
      <c r="AO928" s="186"/>
      <c r="AQ928" s="186"/>
      <c r="AR928" s="186"/>
      <c r="AS928" s="187"/>
      <c r="AU928" s="186"/>
      <c r="AV928" s="186"/>
      <c r="AW928" s="186"/>
      <c r="AX928" s="186"/>
      <c r="AY928" s="186"/>
      <c r="AZ928" s="186"/>
      <c r="BA928" s="186"/>
      <c r="BC928" s="186"/>
      <c r="BD928" s="186"/>
      <c r="BE928" s="187"/>
    </row>
    <row r="929" spans="6:57" x14ac:dyDescent="0.3">
      <c r="F929" s="185"/>
      <c r="H929" s="186"/>
      <c r="J929" s="186"/>
      <c r="K929" s="186"/>
      <c r="L929" s="186"/>
      <c r="M929" s="186"/>
      <c r="N929" s="186"/>
      <c r="O929" s="187"/>
      <c r="P929" s="186"/>
      <c r="Q929" s="186"/>
      <c r="R929" s="186"/>
      <c r="S929" s="186"/>
      <c r="T929" s="186"/>
      <c r="U929" s="186"/>
      <c r="V929" s="186"/>
      <c r="W929" s="187"/>
      <c r="X929" s="186"/>
      <c r="Y929" s="186"/>
      <c r="Z929" s="185"/>
      <c r="AA929" s="186"/>
      <c r="AB929" s="186"/>
      <c r="AC929" s="186"/>
      <c r="AD929" s="186"/>
      <c r="AE929" s="186"/>
      <c r="AF929" s="186"/>
      <c r="AG929" s="186"/>
      <c r="AH929" s="185"/>
      <c r="AJ929" s="186"/>
      <c r="AK929" s="186"/>
      <c r="AL929" s="186"/>
      <c r="AM929" s="187"/>
      <c r="AN929" s="186"/>
      <c r="AO929" s="186"/>
      <c r="AQ929" s="186"/>
      <c r="AR929" s="186"/>
      <c r="AS929" s="187"/>
      <c r="AU929" s="186"/>
      <c r="AV929" s="186"/>
      <c r="AW929" s="186"/>
      <c r="AX929" s="186"/>
      <c r="AY929" s="186"/>
      <c r="AZ929" s="186"/>
      <c r="BA929" s="186"/>
      <c r="BC929" s="186"/>
      <c r="BD929" s="186"/>
      <c r="BE929" s="187"/>
    </row>
    <row r="930" spans="6:57" x14ac:dyDescent="0.3">
      <c r="F930" s="185"/>
      <c r="H930" s="186"/>
      <c r="J930" s="186"/>
      <c r="K930" s="186"/>
      <c r="L930" s="186"/>
      <c r="M930" s="186"/>
      <c r="N930" s="186"/>
      <c r="O930" s="187"/>
      <c r="P930" s="186"/>
      <c r="Q930" s="186"/>
      <c r="R930" s="186"/>
      <c r="S930" s="186"/>
      <c r="T930" s="186"/>
      <c r="U930" s="186"/>
      <c r="V930" s="186"/>
      <c r="W930" s="187"/>
      <c r="X930" s="186"/>
      <c r="Y930" s="186"/>
      <c r="Z930" s="185"/>
      <c r="AA930" s="186"/>
      <c r="AB930" s="186"/>
      <c r="AC930" s="186"/>
      <c r="AD930" s="186"/>
      <c r="AE930" s="186"/>
      <c r="AF930" s="186"/>
      <c r="AG930" s="186"/>
      <c r="AH930" s="185"/>
      <c r="AJ930" s="186"/>
      <c r="AK930" s="186"/>
      <c r="AL930" s="186"/>
      <c r="AM930" s="187"/>
      <c r="AN930" s="186"/>
      <c r="AO930" s="186"/>
      <c r="AQ930" s="186"/>
      <c r="AR930" s="186"/>
      <c r="AS930" s="187"/>
      <c r="AU930" s="186"/>
      <c r="AV930" s="186"/>
      <c r="AW930" s="186"/>
      <c r="AX930" s="186"/>
      <c r="AY930" s="186"/>
      <c r="AZ930" s="186"/>
      <c r="BA930" s="186"/>
      <c r="BC930" s="186"/>
      <c r="BD930" s="186"/>
      <c r="BE930" s="187"/>
    </row>
    <row r="931" spans="6:57" x14ac:dyDescent="0.3">
      <c r="F931" s="185"/>
      <c r="H931" s="186"/>
      <c r="J931" s="186"/>
      <c r="K931" s="186"/>
      <c r="L931" s="186"/>
      <c r="M931" s="186"/>
      <c r="N931" s="186"/>
      <c r="O931" s="187"/>
      <c r="P931" s="186"/>
      <c r="Q931" s="186"/>
      <c r="R931" s="186"/>
      <c r="S931" s="186"/>
      <c r="T931" s="186"/>
      <c r="U931" s="186"/>
      <c r="V931" s="186"/>
      <c r="W931" s="187"/>
      <c r="X931" s="186"/>
      <c r="Y931" s="186"/>
      <c r="Z931" s="185"/>
      <c r="AA931" s="186"/>
      <c r="AB931" s="186"/>
      <c r="AC931" s="186"/>
      <c r="AD931" s="186"/>
      <c r="AE931" s="186"/>
      <c r="AF931" s="186"/>
      <c r="AG931" s="186"/>
      <c r="AH931" s="185"/>
      <c r="AJ931" s="186"/>
      <c r="AK931" s="186"/>
      <c r="AL931" s="186"/>
      <c r="AM931" s="187"/>
      <c r="AN931" s="186"/>
      <c r="AO931" s="186"/>
      <c r="AQ931" s="186"/>
      <c r="AR931" s="186"/>
      <c r="AS931" s="187"/>
      <c r="AU931" s="186"/>
      <c r="AV931" s="186"/>
      <c r="AW931" s="186"/>
      <c r="AX931" s="186"/>
      <c r="AY931" s="186"/>
      <c r="AZ931" s="186"/>
      <c r="BA931" s="186"/>
      <c r="BC931" s="186"/>
      <c r="BD931" s="186"/>
      <c r="BE931" s="187"/>
    </row>
    <row r="932" spans="6:57" x14ac:dyDescent="0.3">
      <c r="F932" s="185"/>
      <c r="H932" s="186"/>
      <c r="J932" s="186"/>
      <c r="K932" s="186"/>
      <c r="L932" s="186"/>
      <c r="M932" s="186"/>
      <c r="N932" s="186"/>
      <c r="O932" s="187"/>
      <c r="P932" s="186"/>
      <c r="Q932" s="186"/>
      <c r="R932" s="186"/>
      <c r="S932" s="186"/>
      <c r="T932" s="186"/>
      <c r="U932" s="186"/>
      <c r="V932" s="186"/>
      <c r="W932" s="187"/>
      <c r="X932" s="186"/>
      <c r="Y932" s="186"/>
      <c r="Z932" s="185"/>
      <c r="AA932" s="186"/>
      <c r="AB932" s="186"/>
      <c r="AC932" s="186"/>
      <c r="AD932" s="186"/>
      <c r="AE932" s="186"/>
      <c r="AF932" s="186"/>
      <c r="AG932" s="186"/>
      <c r="AH932" s="185"/>
      <c r="AJ932" s="186"/>
      <c r="AK932" s="186"/>
      <c r="AL932" s="186"/>
      <c r="AM932" s="187"/>
      <c r="AN932" s="186"/>
      <c r="AO932" s="186"/>
      <c r="AQ932" s="186"/>
      <c r="AR932" s="186"/>
      <c r="AS932" s="187"/>
      <c r="AU932" s="186"/>
      <c r="AV932" s="186"/>
      <c r="AW932" s="186"/>
      <c r="AX932" s="186"/>
      <c r="AY932" s="186"/>
      <c r="AZ932" s="186"/>
      <c r="BA932" s="186"/>
      <c r="BC932" s="186"/>
      <c r="BD932" s="186"/>
      <c r="BE932" s="187"/>
    </row>
    <row r="933" spans="6:57" x14ac:dyDescent="0.3">
      <c r="F933" s="185"/>
      <c r="H933" s="186"/>
      <c r="J933" s="186"/>
      <c r="K933" s="186"/>
      <c r="L933" s="186"/>
      <c r="M933" s="186"/>
      <c r="N933" s="186"/>
      <c r="O933" s="187"/>
      <c r="P933" s="186"/>
      <c r="Q933" s="186"/>
      <c r="R933" s="186"/>
      <c r="S933" s="186"/>
      <c r="T933" s="186"/>
      <c r="U933" s="186"/>
      <c r="V933" s="186"/>
      <c r="W933" s="187"/>
      <c r="X933" s="186"/>
      <c r="Y933" s="186"/>
      <c r="Z933" s="185"/>
      <c r="AA933" s="186"/>
      <c r="AB933" s="186"/>
      <c r="AC933" s="186"/>
      <c r="AD933" s="186"/>
      <c r="AE933" s="186"/>
      <c r="AF933" s="186"/>
      <c r="AG933" s="186"/>
      <c r="AH933" s="185"/>
      <c r="AJ933" s="186"/>
      <c r="AK933" s="186"/>
      <c r="AL933" s="186"/>
      <c r="AM933" s="187"/>
      <c r="AN933" s="186"/>
      <c r="AO933" s="186"/>
      <c r="AQ933" s="186"/>
      <c r="AR933" s="186"/>
      <c r="AS933" s="187"/>
      <c r="AU933" s="186"/>
      <c r="AV933" s="186"/>
      <c r="AW933" s="186"/>
      <c r="AX933" s="186"/>
      <c r="AY933" s="186"/>
      <c r="AZ933" s="186"/>
      <c r="BA933" s="186"/>
      <c r="BC933" s="186"/>
      <c r="BD933" s="186"/>
      <c r="BE933" s="187"/>
    </row>
    <row r="934" spans="6:57" x14ac:dyDescent="0.3">
      <c r="F934" s="185"/>
      <c r="H934" s="186"/>
      <c r="J934" s="186"/>
      <c r="K934" s="186"/>
      <c r="L934" s="186"/>
      <c r="M934" s="186"/>
      <c r="N934" s="186"/>
      <c r="O934" s="187"/>
      <c r="P934" s="186"/>
      <c r="Q934" s="186"/>
      <c r="R934" s="186"/>
      <c r="S934" s="186"/>
      <c r="T934" s="186"/>
      <c r="U934" s="186"/>
      <c r="V934" s="186"/>
      <c r="W934" s="187"/>
      <c r="X934" s="186"/>
      <c r="Y934" s="186"/>
      <c r="Z934" s="185"/>
      <c r="AA934" s="186"/>
      <c r="AB934" s="186"/>
      <c r="AC934" s="186"/>
      <c r="AD934" s="186"/>
      <c r="AE934" s="186"/>
      <c r="AF934" s="186"/>
      <c r="AG934" s="186"/>
      <c r="AH934" s="185"/>
      <c r="AJ934" s="186"/>
      <c r="AK934" s="186"/>
      <c r="AL934" s="186"/>
      <c r="AM934" s="187"/>
      <c r="AN934" s="186"/>
      <c r="AO934" s="186"/>
      <c r="AQ934" s="186"/>
      <c r="AR934" s="186"/>
      <c r="AS934" s="187"/>
      <c r="AU934" s="186"/>
      <c r="AV934" s="186"/>
      <c r="AW934" s="186"/>
      <c r="AX934" s="186"/>
      <c r="AY934" s="186"/>
      <c r="AZ934" s="186"/>
      <c r="BA934" s="186"/>
      <c r="BC934" s="186"/>
      <c r="BD934" s="186"/>
      <c r="BE934" s="187"/>
    </row>
    <row r="935" spans="6:57" x14ac:dyDescent="0.3">
      <c r="F935" s="185"/>
      <c r="H935" s="186"/>
      <c r="J935" s="186"/>
      <c r="K935" s="186"/>
      <c r="L935" s="186"/>
      <c r="M935" s="186"/>
      <c r="N935" s="186"/>
      <c r="O935" s="187"/>
      <c r="P935" s="186"/>
      <c r="Q935" s="186"/>
      <c r="R935" s="186"/>
      <c r="S935" s="186"/>
      <c r="T935" s="186"/>
      <c r="U935" s="186"/>
      <c r="V935" s="186"/>
      <c r="W935" s="187"/>
      <c r="X935" s="186"/>
      <c r="Y935" s="186"/>
      <c r="Z935" s="185"/>
      <c r="AA935" s="186"/>
      <c r="AB935" s="186"/>
      <c r="AC935" s="186"/>
      <c r="AD935" s="186"/>
      <c r="AE935" s="186"/>
      <c r="AF935" s="186"/>
      <c r="AG935" s="186"/>
      <c r="AH935" s="185"/>
      <c r="AJ935" s="186"/>
      <c r="AK935" s="186"/>
      <c r="AL935" s="186"/>
      <c r="AM935" s="187"/>
      <c r="AN935" s="186"/>
      <c r="AO935" s="186"/>
      <c r="AQ935" s="186"/>
      <c r="AR935" s="186"/>
      <c r="AS935" s="187"/>
      <c r="AU935" s="186"/>
      <c r="AV935" s="186"/>
      <c r="AW935" s="186"/>
      <c r="AX935" s="186"/>
      <c r="AY935" s="186"/>
      <c r="AZ935" s="186"/>
      <c r="BA935" s="186"/>
      <c r="BC935" s="186"/>
      <c r="BD935" s="186"/>
      <c r="BE935" s="187"/>
    </row>
    <row r="936" spans="6:57" x14ac:dyDescent="0.3">
      <c r="F936" s="185"/>
      <c r="H936" s="186"/>
      <c r="J936" s="186"/>
      <c r="K936" s="186"/>
      <c r="L936" s="186"/>
      <c r="M936" s="186"/>
      <c r="N936" s="186"/>
      <c r="O936" s="187"/>
      <c r="P936" s="186"/>
      <c r="Q936" s="186"/>
      <c r="R936" s="186"/>
      <c r="S936" s="186"/>
      <c r="T936" s="186"/>
      <c r="U936" s="186"/>
      <c r="V936" s="186"/>
      <c r="W936" s="187"/>
      <c r="X936" s="186"/>
      <c r="Y936" s="186"/>
      <c r="Z936" s="185"/>
      <c r="AA936" s="186"/>
      <c r="AB936" s="186"/>
      <c r="AC936" s="186"/>
      <c r="AD936" s="186"/>
      <c r="AE936" s="186"/>
      <c r="AF936" s="186"/>
      <c r="AG936" s="186"/>
      <c r="AH936" s="185"/>
      <c r="AJ936" s="186"/>
      <c r="AK936" s="186"/>
      <c r="AL936" s="186"/>
      <c r="AM936" s="187"/>
      <c r="AN936" s="186"/>
      <c r="AO936" s="186"/>
      <c r="AQ936" s="186"/>
      <c r="AR936" s="186"/>
      <c r="AS936" s="187"/>
      <c r="AU936" s="186"/>
      <c r="AV936" s="186"/>
      <c r="AW936" s="186"/>
      <c r="AX936" s="186"/>
      <c r="AY936" s="186"/>
      <c r="AZ936" s="186"/>
      <c r="BA936" s="186"/>
      <c r="BC936" s="186"/>
      <c r="BD936" s="186"/>
      <c r="BE936" s="187"/>
    </row>
    <row r="937" spans="6:57" x14ac:dyDescent="0.3">
      <c r="F937" s="185"/>
      <c r="H937" s="186"/>
      <c r="J937" s="186"/>
      <c r="K937" s="186"/>
      <c r="L937" s="186"/>
      <c r="M937" s="186"/>
      <c r="N937" s="186"/>
      <c r="O937" s="187"/>
      <c r="P937" s="186"/>
      <c r="Q937" s="186"/>
      <c r="R937" s="186"/>
      <c r="S937" s="186"/>
      <c r="T937" s="186"/>
      <c r="U937" s="186"/>
      <c r="V937" s="186"/>
      <c r="W937" s="187"/>
      <c r="X937" s="186"/>
      <c r="Y937" s="186"/>
      <c r="Z937" s="185"/>
      <c r="AA937" s="186"/>
      <c r="AB937" s="186"/>
      <c r="AC937" s="186"/>
      <c r="AD937" s="186"/>
      <c r="AE937" s="186"/>
      <c r="AF937" s="186"/>
      <c r="AG937" s="186"/>
      <c r="AH937" s="185"/>
      <c r="AJ937" s="186"/>
      <c r="AK937" s="186"/>
      <c r="AL937" s="186"/>
      <c r="AM937" s="187"/>
      <c r="AN937" s="186"/>
      <c r="AO937" s="186"/>
      <c r="AQ937" s="186"/>
      <c r="AR937" s="186"/>
      <c r="AS937" s="187"/>
      <c r="AU937" s="186"/>
      <c r="AV937" s="186"/>
      <c r="AW937" s="186"/>
      <c r="AX937" s="186"/>
      <c r="AY937" s="186"/>
      <c r="AZ937" s="186"/>
      <c r="BA937" s="186"/>
      <c r="BC937" s="186"/>
      <c r="BD937" s="186"/>
      <c r="BE937" s="187"/>
    </row>
    <row r="938" spans="6:57" x14ac:dyDescent="0.3">
      <c r="F938" s="185"/>
      <c r="H938" s="186"/>
      <c r="J938" s="186"/>
      <c r="K938" s="186"/>
      <c r="L938" s="186"/>
      <c r="M938" s="186"/>
      <c r="N938" s="186"/>
      <c r="O938" s="187"/>
      <c r="P938" s="186"/>
      <c r="Q938" s="186"/>
      <c r="R938" s="186"/>
      <c r="S938" s="186"/>
      <c r="T938" s="186"/>
      <c r="U938" s="186"/>
      <c r="V938" s="186"/>
      <c r="W938" s="187"/>
      <c r="X938" s="186"/>
      <c r="Y938" s="186"/>
      <c r="Z938" s="185"/>
      <c r="AA938" s="186"/>
      <c r="AB938" s="186"/>
      <c r="AC938" s="186"/>
      <c r="AD938" s="186"/>
      <c r="AE938" s="186"/>
      <c r="AF938" s="186"/>
      <c r="AG938" s="186"/>
      <c r="AH938" s="185"/>
      <c r="AJ938" s="186"/>
      <c r="AK938" s="186"/>
      <c r="AL938" s="186"/>
      <c r="AM938" s="187"/>
      <c r="AN938" s="186"/>
      <c r="AO938" s="186"/>
      <c r="AQ938" s="186"/>
      <c r="AR938" s="186"/>
      <c r="AS938" s="187"/>
      <c r="AU938" s="186"/>
      <c r="AV938" s="186"/>
      <c r="AW938" s="186"/>
      <c r="AX938" s="186"/>
      <c r="AY938" s="186"/>
      <c r="AZ938" s="186"/>
      <c r="BA938" s="186"/>
      <c r="BC938" s="186"/>
      <c r="BD938" s="186"/>
      <c r="BE938" s="187"/>
    </row>
    <row r="939" spans="6:57" x14ac:dyDescent="0.3">
      <c r="F939" s="185"/>
      <c r="H939" s="186"/>
      <c r="J939" s="186"/>
      <c r="K939" s="186"/>
      <c r="L939" s="186"/>
      <c r="M939" s="186"/>
      <c r="N939" s="186"/>
      <c r="O939" s="187"/>
      <c r="P939" s="186"/>
      <c r="Q939" s="186"/>
      <c r="R939" s="186"/>
      <c r="S939" s="186"/>
      <c r="T939" s="186"/>
      <c r="U939" s="186"/>
      <c r="V939" s="186"/>
      <c r="W939" s="187"/>
      <c r="X939" s="186"/>
      <c r="Y939" s="186"/>
      <c r="Z939" s="185"/>
      <c r="AA939" s="186"/>
      <c r="AB939" s="186"/>
      <c r="AC939" s="186"/>
      <c r="AD939" s="186"/>
      <c r="AE939" s="186"/>
      <c r="AF939" s="186"/>
      <c r="AG939" s="186"/>
      <c r="AH939" s="185"/>
      <c r="AJ939" s="186"/>
      <c r="AK939" s="186"/>
      <c r="AL939" s="186"/>
      <c r="AM939" s="187"/>
      <c r="AN939" s="186"/>
      <c r="AO939" s="186"/>
      <c r="AQ939" s="186"/>
      <c r="AR939" s="186"/>
      <c r="AS939" s="187"/>
      <c r="AU939" s="186"/>
      <c r="AV939" s="186"/>
      <c r="AW939" s="186"/>
      <c r="AX939" s="186"/>
      <c r="AY939" s="186"/>
      <c r="AZ939" s="186"/>
      <c r="BA939" s="186"/>
      <c r="BC939" s="186"/>
      <c r="BD939" s="186"/>
      <c r="BE939" s="187"/>
    </row>
    <row r="940" spans="6:57" x14ac:dyDescent="0.3">
      <c r="F940" s="185"/>
      <c r="H940" s="186"/>
      <c r="J940" s="186"/>
      <c r="K940" s="186"/>
      <c r="L940" s="186"/>
      <c r="M940" s="186"/>
      <c r="N940" s="186"/>
      <c r="O940" s="187"/>
      <c r="P940" s="186"/>
      <c r="Q940" s="186"/>
      <c r="R940" s="186"/>
      <c r="S940" s="186"/>
      <c r="T940" s="186"/>
      <c r="U940" s="186"/>
      <c r="V940" s="186"/>
      <c r="W940" s="187"/>
      <c r="X940" s="186"/>
      <c r="Y940" s="186"/>
      <c r="Z940" s="185"/>
      <c r="AA940" s="186"/>
      <c r="AB940" s="186"/>
      <c r="AC940" s="186"/>
      <c r="AD940" s="186"/>
      <c r="AE940" s="186"/>
      <c r="AF940" s="186"/>
      <c r="AG940" s="186"/>
      <c r="AH940" s="185"/>
      <c r="AJ940" s="186"/>
      <c r="AK940" s="186"/>
      <c r="AL940" s="186"/>
      <c r="AM940" s="187"/>
      <c r="AN940" s="186"/>
      <c r="AO940" s="186"/>
      <c r="AQ940" s="186"/>
      <c r="AR940" s="186"/>
      <c r="AS940" s="187"/>
      <c r="AU940" s="186"/>
      <c r="AV940" s="186"/>
      <c r="AW940" s="186"/>
      <c r="AX940" s="186"/>
      <c r="AY940" s="186"/>
      <c r="AZ940" s="186"/>
      <c r="BA940" s="186"/>
      <c r="BC940" s="186"/>
      <c r="BD940" s="186"/>
      <c r="BE940" s="187"/>
    </row>
    <row r="941" spans="6:57" x14ac:dyDescent="0.3">
      <c r="F941" s="185"/>
      <c r="H941" s="186"/>
      <c r="J941" s="186"/>
      <c r="K941" s="186"/>
      <c r="L941" s="186"/>
      <c r="M941" s="186"/>
      <c r="N941" s="186"/>
      <c r="O941" s="187"/>
      <c r="P941" s="186"/>
      <c r="Q941" s="186"/>
      <c r="R941" s="186"/>
      <c r="S941" s="186"/>
      <c r="T941" s="186"/>
      <c r="U941" s="186"/>
      <c r="V941" s="186"/>
      <c r="W941" s="187"/>
      <c r="X941" s="186"/>
      <c r="Y941" s="186"/>
      <c r="Z941" s="185"/>
      <c r="AA941" s="186"/>
      <c r="AB941" s="186"/>
      <c r="AC941" s="186"/>
      <c r="AD941" s="186"/>
      <c r="AE941" s="186"/>
      <c r="AF941" s="186"/>
      <c r="AG941" s="186"/>
      <c r="AH941" s="185"/>
      <c r="AJ941" s="186"/>
      <c r="AK941" s="186"/>
      <c r="AL941" s="186"/>
      <c r="AM941" s="187"/>
      <c r="AN941" s="186"/>
      <c r="AO941" s="186"/>
      <c r="AQ941" s="186"/>
      <c r="AR941" s="186"/>
      <c r="AS941" s="187"/>
      <c r="AU941" s="186"/>
      <c r="AV941" s="186"/>
      <c r="AW941" s="186"/>
      <c r="AX941" s="186"/>
      <c r="AY941" s="186"/>
      <c r="AZ941" s="186"/>
      <c r="BA941" s="186"/>
      <c r="BC941" s="186"/>
      <c r="BD941" s="186"/>
      <c r="BE941" s="187"/>
    </row>
    <row r="942" spans="6:57" x14ac:dyDescent="0.3">
      <c r="F942" s="185"/>
      <c r="H942" s="186"/>
      <c r="J942" s="186"/>
      <c r="K942" s="186"/>
      <c r="L942" s="186"/>
      <c r="M942" s="186"/>
      <c r="N942" s="186"/>
      <c r="O942" s="187"/>
      <c r="P942" s="186"/>
      <c r="Q942" s="186"/>
      <c r="R942" s="186"/>
      <c r="S942" s="186"/>
      <c r="T942" s="186"/>
      <c r="U942" s="186"/>
      <c r="V942" s="186"/>
      <c r="W942" s="187"/>
      <c r="X942" s="186"/>
      <c r="Y942" s="186"/>
      <c r="Z942" s="185"/>
      <c r="AA942" s="186"/>
      <c r="AB942" s="186"/>
      <c r="AC942" s="186"/>
      <c r="AD942" s="186"/>
      <c r="AE942" s="186"/>
      <c r="AF942" s="186"/>
      <c r="AG942" s="186"/>
      <c r="AH942" s="185"/>
      <c r="AJ942" s="186"/>
      <c r="AK942" s="186"/>
      <c r="AL942" s="186"/>
      <c r="AM942" s="187"/>
      <c r="AN942" s="186"/>
      <c r="AO942" s="186"/>
      <c r="AQ942" s="186"/>
      <c r="AR942" s="186"/>
      <c r="AS942" s="187"/>
      <c r="AU942" s="186"/>
      <c r="AV942" s="186"/>
      <c r="AW942" s="186"/>
      <c r="AX942" s="186"/>
      <c r="AY942" s="186"/>
      <c r="AZ942" s="186"/>
      <c r="BA942" s="186"/>
      <c r="BC942" s="186"/>
      <c r="BD942" s="186"/>
      <c r="BE942" s="187"/>
    </row>
    <row r="943" spans="6:57" x14ac:dyDescent="0.3">
      <c r="F943" s="185"/>
      <c r="H943" s="186"/>
      <c r="J943" s="186"/>
      <c r="K943" s="186"/>
      <c r="L943" s="186"/>
      <c r="M943" s="186"/>
      <c r="N943" s="186"/>
      <c r="O943" s="187"/>
      <c r="P943" s="186"/>
      <c r="Q943" s="186"/>
      <c r="R943" s="186"/>
      <c r="S943" s="186"/>
      <c r="T943" s="186"/>
      <c r="U943" s="186"/>
      <c r="V943" s="186"/>
      <c r="W943" s="187"/>
      <c r="X943" s="186"/>
      <c r="Y943" s="186"/>
      <c r="Z943" s="185"/>
      <c r="AA943" s="186"/>
      <c r="AB943" s="186"/>
      <c r="AC943" s="186"/>
      <c r="AD943" s="186"/>
      <c r="AE943" s="186"/>
      <c r="AF943" s="186"/>
      <c r="AG943" s="186"/>
      <c r="AH943" s="185"/>
      <c r="AJ943" s="186"/>
      <c r="AK943" s="186"/>
      <c r="AL943" s="186"/>
      <c r="AM943" s="187"/>
      <c r="AN943" s="186"/>
      <c r="AO943" s="186"/>
      <c r="AQ943" s="186"/>
      <c r="AR943" s="186"/>
      <c r="AS943" s="187"/>
      <c r="AU943" s="186"/>
      <c r="AV943" s="186"/>
      <c r="AW943" s="186"/>
      <c r="AX943" s="186"/>
      <c r="AY943" s="186"/>
      <c r="AZ943" s="186"/>
      <c r="BA943" s="186"/>
      <c r="BC943" s="186"/>
      <c r="BD943" s="186"/>
      <c r="BE943" s="187"/>
    </row>
    <row r="944" spans="6:57" x14ac:dyDescent="0.3">
      <c r="F944" s="185"/>
      <c r="H944" s="186"/>
      <c r="J944" s="186"/>
      <c r="K944" s="186"/>
      <c r="L944" s="186"/>
      <c r="M944" s="186"/>
      <c r="N944" s="186"/>
      <c r="O944" s="187"/>
      <c r="P944" s="186"/>
      <c r="Q944" s="186"/>
      <c r="R944" s="186"/>
      <c r="S944" s="186"/>
      <c r="T944" s="186"/>
      <c r="U944" s="186"/>
      <c r="V944" s="186"/>
      <c r="W944" s="187"/>
      <c r="X944" s="186"/>
      <c r="Y944" s="186"/>
      <c r="Z944" s="185"/>
      <c r="AA944" s="186"/>
      <c r="AB944" s="186"/>
      <c r="AC944" s="186"/>
      <c r="AD944" s="186"/>
      <c r="AE944" s="186"/>
      <c r="AF944" s="186"/>
      <c r="AG944" s="186"/>
      <c r="AH944" s="185"/>
      <c r="AJ944" s="186"/>
      <c r="AK944" s="186"/>
      <c r="AL944" s="186"/>
      <c r="AM944" s="187"/>
      <c r="AN944" s="186"/>
      <c r="AO944" s="186"/>
      <c r="AQ944" s="186"/>
      <c r="AR944" s="186"/>
      <c r="AS944" s="187"/>
      <c r="AU944" s="186"/>
      <c r="AV944" s="186"/>
      <c r="AW944" s="186"/>
      <c r="AX944" s="186"/>
      <c r="AY944" s="186"/>
      <c r="AZ944" s="186"/>
      <c r="BA944" s="186"/>
      <c r="BC944" s="186"/>
      <c r="BD944" s="186"/>
      <c r="BE944" s="187"/>
    </row>
    <row r="945" spans="6:57" x14ac:dyDescent="0.3">
      <c r="F945" s="185"/>
      <c r="H945" s="186"/>
      <c r="J945" s="186"/>
      <c r="K945" s="186"/>
      <c r="L945" s="186"/>
      <c r="M945" s="186"/>
      <c r="N945" s="186"/>
      <c r="O945" s="187"/>
      <c r="P945" s="186"/>
      <c r="Q945" s="186"/>
      <c r="R945" s="186"/>
      <c r="S945" s="186"/>
      <c r="T945" s="186"/>
      <c r="U945" s="186"/>
      <c r="V945" s="186"/>
      <c r="W945" s="187"/>
      <c r="X945" s="186"/>
      <c r="Y945" s="186"/>
      <c r="Z945" s="185"/>
      <c r="AA945" s="186"/>
      <c r="AB945" s="186"/>
      <c r="AC945" s="186"/>
      <c r="AD945" s="186"/>
      <c r="AE945" s="186"/>
      <c r="AF945" s="186"/>
      <c r="AG945" s="186"/>
      <c r="AH945" s="185"/>
      <c r="AJ945" s="186"/>
      <c r="AK945" s="186"/>
      <c r="AL945" s="186"/>
      <c r="AM945" s="187"/>
      <c r="AN945" s="186"/>
      <c r="AO945" s="186"/>
      <c r="AQ945" s="186"/>
      <c r="AR945" s="186"/>
      <c r="AS945" s="187"/>
      <c r="AU945" s="186"/>
      <c r="AV945" s="186"/>
      <c r="AW945" s="186"/>
      <c r="AX945" s="186"/>
      <c r="AY945" s="186"/>
      <c r="AZ945" s="186"/>
      <c r="BA945" s="186"/>
      <c r="BC945" s="186"/>
      <c r="BD945" s="186"/>
      <c r="BE945" s="187"/>
    </row>
    <row r="946" spans="6:57" x14ac:dyDescent="0.3">
      <c r="F946" s="185"/>
      <c r="H946" s="186"/>
      <c r="J946" s="186"/>
      <c r="K946" s="186"/>
      <c r="L946" s="186"/>
      <c r="M946" s="186"/>
      <c r="N946" s="186"/>
      <c r="O946" s="187"/>
      <c r="P946" s="186"/>
      <c r="Q946" s="186"/>
      <c r="R946" s="186"/>
      <c r="S946" s="186"/>
      <c r="T946" s="186"/>
      <c r="U946" s="186"/>
      <c r="V946" s="186"/>
      <c r="W946" s="187"/>
      <c r="X946" s="186"/>
      <c r="Y946" s="186"/>
      <c r="Z946" s="185"/>
      <c r="AA946" s="186"/>
      <c r="AB946" s="186"/>
      <c r="AC946" s="186"/>
      <c r="AD946" s="186"/>
      <c r="AE946" s="186"/>
      <c r="AF946" s="186"/>
      <c r="AG946" s="186"/>
      <c r="AH946" s="185"/>
      <c r="AJ946" s="186"/>
      <c r="AK946" s="186"/>
      <c r="AL946" s="186"/>
      <c r="AM946" s="187"/>
      <c r="AN946" s="186"/>
      <c r="AO946" s="186"/>
      <c r="AQ946" s="186"/>
      <c r="AR946" s="186"/>
      <c r="AS946" s="187"/>
      <c r="AU946" s="186"/>
      <c r="AV946" s="186"/>
      <c r="AW946" s="186"/>
      <c r="AX946" s="186"/>
      <c r="AY946" s="186"/>
      <c r="AZ946" s="186"/>
      <c r="BA946" s="186"/>
      <c r="BC946" s="186"/>
      <c r="BD946" s="186"/>
      <c r="BE946" s="187"/>
    </row>
    <row r="947" spans="6:57" x14ac:dyDescent="0.3">
      <c r="F947" s="185"/>
      <c r="H947" s="186"/>
      <c r="J947" s="186"/>
      <c r="K947" s="186"/>
      <c r="L947" s="186"/>
      <c r="M947" s="186"/>
      <c r="N947" s="186"/>
      <c r="O947" s="187"/>
      <c r="P947" s="186"/>
      <c r="Q947" s="186"/>
      <c r="R947" s="186"/>
      <c r="S947" s="186"/>
      <c r="T947" s="186"/>
      <c r="U947" s="186"/>
      <c r="V947" s="186"/>
      <c r="W947" s="187"/>
      <c r="X947" s="186"/>
      <c r="Y947" s="186"/>
      <c r="Z947" s="185"/>
      <c r="AA947" s="186"/>
      <c r="AB947" s="186"/>
      <c r="AC947" s="186"/>
      <c r="AD947" s="186"/>
      <c r="AE947" s="186"/>
      <c r="AF947" s="186"/>
      <c r="AG947" s="186"/>
      <c r="AH947" s="185"/>
      <c r="AJ947" s="186"/>
      <c r="AK947" s="186"/>
      <c r="AL947" s="186"/>
      <c r="AM947" s="187"/>
      <c r="AN947" s="186"/>
      <c r="AO947" s="186"/>
      <c r="AQ947" s="186"/>
      <c r="AR947" s="186"/>
      <c r="AS947" s="187"/>
      <c r="AU947" s="186"/>
      <c r="AV947" s="186"/>
      <c r="AW947" s="186"/>
      <c r="AX947" s="186"/>
      <c r="AY947" s="186"/>
      <c r="AZ947" s="186"/>
      <c r="BA947" s="186"/>
      <c r="BC947" s="186"/>
      <c r="BD947" s="186"/>
      <c r="BE947" s="187"/>
    </row>
    <row r="948" spans="6:57" x14ac:dyDescent="0.3">
      <c r="F948" s="185"/>
      <c r="H948" s="186"/>
      <c r="J948" s="186"/>
      <c r="K948" s="186"/>
      <c r="L948" s="186"/>
      <c r="M948" s="186"/>
      <c r="N948" s="186"/>
      <c r="O948" s="187"/>
      <c r="P948" s="186"/>
      <c r="Q948" s="186"/>
      <c r="R948" s="186"/>
      <c r="S948" s="186"/>
      <c r="T948" s="186"/>
      <c r="U948" s="186"/>
      <c r="V948" s="186"/>
      <c r="W948" s="187"/>
      <c r="X948" s="186"/>
      <c r="Y948" s="186"/>
      <c r="Z948" s="185"/>
      <c r="AA948" s="186"/>
      <c r="AB948" s="186"/>
      <c r="AC948" s="186"/>
      <c r="AD948" s="186"/>
      <c r="AE948" s="186"/>
      <c r="AF948" s="186"/>
      <c r="AG948" s="186"/>
      <c r="AH948" s="185"/>
      <c r="AJ948" s="186"/>
      <c r="AK948" s="186"/>
      <c r="AL948" s="186"/>
      <c r="AM948" s="187"/>
      <c r="AN948" s="186"/>
      <c r="AO948" s="186"/>
      <c r="AQ948" s="186"/>
      <c r="AR948" s="186"/>
      <c r="AS948" s="187"/>
      <c r="AU948" s="186"/>
      <c r="AV948" s="186"/>
      <c r="AW948" s="186"/>
      <c r="AX948" s="186"/>
      <c r="AY948" s="186"/>
      <c r="AZ948" s="186"/>
      <c r="BA948" s="186"/>
      <c r="BC948" s="186"/>
      <c r="BD948" s="186"/>
      <c r="BE948" s="187"/>
    </row>
    <row r="949" spans="6:57" x14ac:dyDescent="0.3">
      <c r="F949" s="185"/>
      <c r="H949" s="186"/>
      <c r="J949" s="186"/>
      <c r="K949" s="186"/>
      <c r="L949" s="186"/>
      <c r="M949" s="186"/>
      <c r="N949" s="186"/>
      <c r="O949" s="187"/>
      <c r="P949" s="186"/>
      <c r="Q949" s="186"/>
      <c r="R949" s="186"/>
      <c r="S949" s="186"/>
      <c r="T949" s="186"/>
      <c r="U949" s="186"/>
      <c r="V949" s="186"/>
      <c r="W949" s="187"/>
      <c r="X949" s="186"/>
      <c r="Y949" s="186"/>
      <c r="Z949" s="185"/>
      <c r="AA949" s="186"/>
      <c r="AB949" s="186"/>
      <c r="AC949" s="186"/>
      <c r="AD949" s="186"/>
      <c r="AE949" s="186"/>
      <c r="AF949" s="186"/>
      <c r="AG949" s="186"/>
      <c r="AH949" s="185"/>
      <c r="AJ949" s="186"/>
      <c r="AK949" s="186"/>
      <c r="AL949" s="186"/>
      <c r="AM949" s="187"/>
      <c r="AN949" s="186"/>
      <c r="AO949" s="186"/>
      <c r="AQ949" s="186"/>
      <c r="AR949" s="186"/>
      <c r="AS949" s="187"/>
      <c r="AU949" s="186"/>
      <c r="AV949" s="186"/>
      <c r="AW949" s="186"/>
      <c r="AX949" s="186"/>
      <c r="AY949" s="186"/>
      <c r="AZ949" s="186"/>
      <c r="BA949" s="186"/>
      <c r="BC949" s="186"/>
      <c r="BD949" s="186"/>
      <c r="BE949" s="187"/>
    </row>
    <row r="950" spans="6:57" x14ac:dyDescent="0.3">
      <c r="F950" s="185"/>
      <c r="H950" s="186"/>
      <c r="J950" s="186"/>
      <c r="K950" s="186"/>
      <c r="L950" s="186"/>
      <c r="M950" s="186"/>
      <c r="N950" s="186"/>
      <c r="O950" s="187"/>
      <c r="P950" s="186"/>
      <c r="Q950" s="186"/>
      <c r="R950" s="186"/>
      <c r="S950" s="186"/>
      <c r="T950" s="186"/>
      <c r="U950" s="186"/>
      <c r="V950" s="186"/>
      <c r="W950" s="187"/>
      <c r="X950" s="186"/>
      <c r="Y950" s="186"/>
      <c r="Z950" s="185"/>
      <c r="AA950" s="186"/>
      <c r="AB950" s="186"/>
      <c r="AC950" s="186"/>
      <c r="AD950" s="186"/>
      <c r="AE950" s="186"/>
      <c r="AF950" s="186"/>
      <c r="AG950" s="186"/>
      <c r="AH950" s="185"/>
      <c r="AJ950" s="186"/>
      <c r="AK950" s="186"/>
      <c r="AL950" s="186"/>
      <c r="AM950" s="187"/>
      <c r="AN950" s="186"/>
      <c r="AO950" s="186"/>
      <c r="AQ950" s="186"/>
      <c r="AR950" s="186"/>
      <c r="AS950" s="187"/>
      <c r="AU950" s="186"/>
      <c r="AV950" s="186"/>
      <c r="AW950" s="186"/>
      <c r="AX950" s="186"/>
      <c r="AY950" s="186"/>
      <c r="AZ950" s="186"/>
      <c r="BA950" s="186"/>
      <c r="BC950" s="186"/>
      <c r="BD950" s="186"/>
      <c r="BE950" s="187"/>
    </row>
    <row r="951" spans="6:57" x14ac:dyDescent="0.3">
      <c r="F951" s="185"/>
      <c r="H951" s="186"/>
      <c r="J951" s="186"/>
      <c r="K951" s="186"/>
      <c r="L951" s="186"/>
      <c r="M951" s="186"/>
      <c r="N951" s="186"/>
      <c r="O951" s="187"/>
      <c r="P951" s="186"/>
      <c r="Q951" s="186"/>
      <c r="R951" s="186"/>
      <c r="S951" s="186"/>
      <c r="T951" s="186"/>
      <c r="U951" s="186"/>
      <c r="V951" s="186"/>
      <c r="W951" s="187"/>
      <c r="X951" s="186"/>
      <c r="Y951" s="186"/>
      <c r="Z951" s="185"/>
      <c r="AA951" s="186"/>
      <c r="AB951" s="186"/>
      <c r="AC951" s="186"/>
      <c r="AD951" s="186"/>
      <c r="AE951" s="186"/>
      <c r="AF951" s="186"/>
      <c r="AG951" s="186"/>
      <c r="AH951" s="185"/>
      <c r="AJ951" s="186"/>
      <c r="AK951" s="186"/>
      <c r="AL951" s="186"/>
      <c r="AM951" s="187"/>
      <c r="AN951" s="186"/>
      <c r="AO951" s="186"/>
      <c r="AQ951" s="186"/>
      <c r="AR951" s="186"/>
      <c r="AS951" s="187"/>
      <c r="AU951" s="186"/>
      <c r="AV951" s="186"/>
      <c r="AW951" s="186"/>
      <c r="AX951" s="186"/>
      <c r="AY951" s="186"/>
      <c r="AZ951" s="186"/>
      <c r="BA951" s="186"/>
      <c r="BC951" s="186"/>
      <c r="BD951" s="186"/>
      <c r="BE951" s="187"/>
    </row>
    <row r="952" spans="6:57" x14ac:dyDescent="0.3">
      <c r="F952" s="185"/>
      <c r="H952" s="186"/>
      <c r="J952" s="186"/>
      <c r="K952" s="186"/>
      <c r="L952" s="186"/>
      <c r="M952" s="186"/>
      <c r="N952" s="186"/>
      <c r="O952" s="187"/>
      <c r="P952" s="186"/>
      <c r="Q952" s="186"/>
      <c r="R952" s="186"/>
      <c r="S952" s="186"/>
      <c r="T952" s="186"/>
      <c r="U952" s="186"/>
      <c r="V952" s="186"/>
      <c r="W952" s="187"/>
      <c r="X952" s="186"/>
      <c r="Y952" s="186"/>
      <c r="Z952" s="185"/>
      <c r="AA952" s="186"/>
      <c r="AB952" s="186"/>
      <c r="AC952" s="186"/>
      <c r="AD952" s="186"/>
      <c r="AE952" s="186"/>
      <c r="AF952" s="186"/>
      <c r="AG952" s="186"/>
      <c r="AH952" s="185"/>
      <c r="AJ952" s="186"/>
      <c r="AK952" s="186"/>
      <c r="AL952" s="186"/>
      <c r="AM952" s="187"/>
      <c r="AN952" s="186"/>
      <c r="AO952" s="186"/>
      <c r="AQ952" s="186"/>
      <c r="AR952" s="186"/>
      <c r="AS952" s="187"/>
      <c r="AU952" s="186"/>
      <c r="AV952" s="186"/>
      <c r="AW952" s="186"/>
      <c r="AX952" s="186"/>
      <c r="AY952" s="186"/>
      <c r="AZ952" s="186"/>
      <c r="BA952" s="186"/>
      <c r="BC952" s="186"/>
      <c r="BD952" s="186"/>
      <c r="BE952" s="187"/>
    </row>
    <row r="953" spans="6:57" x14ac:dyDescent="0.3">
      <c r="F953" s="185"/>
      <c r="H953" s="186"/>
      <c r="J953" s="186"/>
      <c r="K953" s="186"/>
      <c r="L953" s="186"/>
      <c r="M953" s="186"/>
      <c r="N953" s="186"/>
      <c r="O953" s="187"/>
      <c r="P953" s="186"/>
      <c r="Q953" s="186"/>
      <c r="R953" s="186"/>
      <c r="S953" s="186"/>
      <c r="T953" s="186"/>
      <c r="U953" s="186"/>
      <c r="V953" s="186"/>
      <c r="W953" s="187"/>
      <c r="X953" s="186"/>
      <c r="Y953" s="186"/>
      <c r="Z953" s="185"/>
      <c r="AA953" s="186"/>
      <c r="AB953" s="186"/>
      <c r="AC953" s="186"/>
      <c r="AD953" s="186"/>
      <c r="AE953" s="186"/>
      <c r="AF953" s="186"/>
      <c r="AG953" s="186"/>
      <c r="AH953" s="185"/>
      <c r="AJ953" s="186"/>
      <c r="AK953" s="186"/>
      <c r="AL953" s="186"/>
      <c r="AM953" s="187"/>
      <c r="AN953" s="186"/>
      <c r="AO953" s="186"/>
      <c r="AQ953" s="186"/>
      <c r="AR953" s="186"/>
      <c r="AS953" s="187"/>
      <c r="AU953" s="186"/>
      <c r="AV953" s="186"/>
      <c r="AW953" s="186"/>
      <c r="AX953" s="186"/>
      <c r="AY953" s="186"/>
      <c r="AZ953" s="186"/>
      <c r="BA953" s="186"/>
      <c r="BC953" s="186"/>
      <c r="BD953" s="186"/>
      <c r="BE953" s="187"/>
    </row>
    <row r="954" spans="6:57" x14ac:dyDescent="0.3">
      <c r="F954" s="185"/>
      <c r="H954" s="186"/>
      <c r="J954" s="186"/>
      <c r="K954" s="186"/>
      <c r="L954" s="186"/>
      <c r="M954" s="186"/>
      <c r="N954" s="186"/>
      <c r="O954" s="187"/>
      <c r="P954" s="186"/>
      <c r="Q954" s="186"/>
      <c r="R954" s="186"/>
      <c r="S954" s="186"/>
      <c r="T954" s="186"/>
      <c r="U954" s="186"/>
      <c r="V954" s="186"/>
      <c r="W954" s="187"/>
      <c r="X954" s="186"/>
      <c r="Y954" s="186"/>
      <c r="Z954" s="185"/>
      <c r="AA954" s="186"/>
      <c r="AB954" s="186"/>
      <c r="AC954" s="186"/>
      <c r="AD954" s="186"/>
      <c r="AE954" s="186"/>
      <c r="AF954" s="186"/>
      <c r="AG954" s="186"/>
      <c r="AH954" s="185"/>
      <c r="AJ954" s="186"/>
      <c r="AK954" s="186"/>
      <c r="AL954" s="186"/>
      <c r="AM954" s="187"/>
      <c r="AN954" s="186"/>
      <c r="AO954" s="186"/>
      <c r="AQ954" s="186"/>
      <c r="AR954" s="186"/>
      <c r="AS954" s="187"/>
      <c r="AU954" s="186"/>
      <c r="AV954" s="186"/>
      <c r="AW954" s="186"/>
      <c r="AX954" s="186"/>
      <c r="AY954" s="186"/>
      <c r="AZ954" s="186"/>
      <c r="BA954" s="186"/>
      <c r="BC954" s="186"/>
      <c r="BD954" s="186"/>
      <c r="BE954" s="187"/>
    </row>
    <row r="955" spans="6:57" x14ac:dyDescent="0.3">
      <c r="F955" s="185"/>
      <c r="H955" s="186"/>
      <c r="J955" s="186"/>
      <c r="K955" s="186"/>
      <c r="L955" s="186"/>
      <c r="M955" s="186"/>
      <c r="N955" s="186"/>
      <c r="O955" s="187"/>
      <c r="P955" s="186"/>
      <c r="Q955" s="186"/>
      <c r="R955" s="186"/>
      <c r="S955" s="186"/>
      <c r="T955" s="186"/>
      <c r="U955" s="186"/>
      <c r="V955" s="186"/>
      <c r="W955" s="187"/>
      <c r="X955" s="186"/>
      <c r="Y955" s="186"/>
      <c r="Z955" s="185"/>
      <c r="AA955" s="186"/>
      <c r="AB955" s="186"/>
      <c r="AC955" s="186"/>
      <c r="AD955" s="186"/>
      <c r="AE955" s="186"/>
      <c r="AF955" s="186"/>
      <c r="AG955" s="186"/>
      <c r="AH955" s="185"/>
      <c r="AJ955" s="186"/>
      <c r="AK955" s="186"/>
      <c r="AL955" s="186"/>
      <c r="AM955" s="187"/>
      <c r="AN955" s="186"/>
      <c r="AO955" s="186"/>
      <c r="AQ955" s="186"/>
      <c r="AR955" s="186"/>
      <c r="AS955" s="187"/>
      <c r="AU955" s="186"/>
      <c r="AV955" s="186"/>
      <c r="AW955" s="186"/>
      <c r="AX955" s="186"/>
      <c r="AY955" s="186"/>
      <c r="AZ955" s="186"/>
      <c r="BA955" s="186"/>
      <c r="BC955" s="186"/>
      <c r="BD955" s="186"/>
      <c r="BE955" s="187"/>
    </row>
    <row r="956" spans="6:57" x14ac:dyDescent="0.3">
      <c r="F956" s="185"/>
      <c r="H956" s="186"/>
      <c r="J956" s="186"/>
      <c r="K956" s="186"/>
      <c r="L956" s="186"/>
      <c r="M956" s="186"/>
      <c r="N956" s="186"/>
      <c r="O956" s="187"/>
      <c r="P956" s="186"/>
      <c r="Q956" s="186"/>
      <c r="R956" s="186"/>
      <c r="S956" s="186"/>
      <c r="T956" s="186"/>
      <c r="U956" s="186"/>
      <c r="V956" s="186"/>
      <c r="W956" s="187"/>
      <c r="X956" s="186"/>
      <c r="Y956" s="186"/>
      <c r="Z956" s="185"/>
      <c r="AA956" s="186"/>
      <c r="AB956" s="186"/>
      <c r="AC956" s="186"/>
      <c r="AD956" s="186"/>
      <c r="AE956" s="186"/>
      <c r="AF956" s="186"/>
      <c r="AG956" s="186"/>
      <c r="AH956" s="185"/>
      <c r="AJ956" s="186"/>
      <c r="AK956" s="186"/>
      <c r="AL956" s="186"/>
      <c r="AM956" s="187"/>
      <c r="AN956" s="186"/>
      <c r="AO956" s="186"/>
      <c r="AQ956" s="186"/>
      <c r="AR956" s="186"/>
      <c r="AS956" s="187"/>
      <c r="AU956" s="186"/>
      <c r="AV956" s="186"/>
      <c r="AW956" s="186"/>
      <c r="AX956" s="186"/>
      <c r="AY956" s="186"/>
      <c r="AZ956" s="186"/>
      <c r="BA956" s="186"/>
      <c r="BC956" s="186"/>
      <c r="BD956" s="186"/>
      <c r="BE956" s="187"/>
    </row>
    <row r="957" spans="6:57" x14ac:dyDescent="0.3">
      <c r="F957" s="185"/>
      <c r="H957" s="186"/>
      <c r="J957" s="186"/>
      <c r="K957" s="186"/>
      <c r="L957" s="186"/>
      <c r="M957" s="186"/>
      <c r="N957" s="186"/>
      <c r="O957" s="187"/>
      <c r="P957" s="186"/>
      <c r="Q957" s="186"/>
      <c r="R957" s="186"/>
      <c r="S957" s="186"/>
      <c r="T957" s="186"/>
      <c r="U957" s="186"/>
      <c r="V957" s="186"/>
      <c r="W957" s="187"/>
      <c r="X957" s="186"/>
      <c r="Y957" s="186"/>
      <c r="Z957" s="185"/>
      <c r="AA957" s="186"/>
      <c r="AB957" s="186"/>
      <c r="AC957" s="186"/>
      <c r="AD957" s="186"/>
      <c r="AE957" s="186"/>
      <c r="AF957" s="186"/>
      <c r="AG957" s="186"/>
      <c r="AH957" s="185"/>
      <c r="AJ957" s="186"/>
      <c r="AK957" s="186"/>
      <c r="AL957" s="186"/>
      <c r="AM957" s="187"/>
      <c r="AN957" s="186"/>
      <c r="AO957" s="186"/>
      <c r="AQ957" s="186"/>
      <c r="AR957" s="186"/>
      <c r="AS957" s="187"/>
      <c r="AU957" s="186"/>
      <c r="AV957" s="186"/>
      <c r="AW957" s="186"/>
      <c r="AX957" s="186"/>
      <c r="AY957" s="186"/>
      <c r="AZ957" s="186"/>
      <c r="BA957" s="186"/>
      <c r="BC957" s="186"/>
      <c r="BD957" s="186"/>
      <c r="BE957" s="187"/>
    </row>
    <row r="958" spans="6:57" x14ac:dyDescent="0.3">
      <c r="F958" s="185"/>
      <c r="H958" s="186"/>
      <c r="J958" s="186"/>
      <c r="K958" s="186"/>
      <c r="L958" s="186"/>
      <c r="M958" s="186"/>
      <c r="N958" s="186"/>
      <c r="O958" s="187"/>
      <c r="P958" s="186"/>
      <c r="Q958" s="186"/>
      <c r="R958" s="186"/>
      <c r="S958" s="186"/>
      <c r="T958" s="186"/>
      <c r="U958" s="186"/>
      <c r="V958" s="186"/>
      <c r="W958" s="187"/>
      <c r="X958" s="186"/>
      <c r="Y958" s="186"/>
      <c r="Z958" s="185"/>
      <c r="AA958" s="186"/>
      <c r="AB958" s="186"/>
      <c r="AC958" s="186"/>
      <c r="AD958" s="186"/>
      <c r="AE958" s="186"/>
      <c r="AF958" s="186"/>
      <c r="AG958" s="186"/>
      <c r="AH958" s="185"/>
      <c r="AJ958" s="186"/>
      <c r="AK958" s="186"/>
      <c r="AL958" s="186"/>
      <c r="AM958" s="187"/>
      <c r="AN958" s="186"/>
      <c r="AO958" s="186"/>
      <c r="AQ958" s="186"/>
      <c r="AR958" s="186"/>
      <c r="AS958" s="187"/>
      <c r="AU958" s="186"/>
      <c r="AV958" s="186"/>
      <c r="AW958" s="186"/>
      <c r="AX958" s="186"/>
      <c r="AY958" s="186"/>
      <c r="AZ958" s="186"/>
      <c r="BA958" s="186"/>
      <c r="BC958" s="186"/>
      <c r="BD958" s="186"/>
      <c r="BE958" s="187"/>
    </row>
    <row r="959" spans="6:57" x14ac:dyDescent="0.3">
      <c r="F959" s="185"/>
      <c r="H959" s="186"/>
      <c r="J959" s="186"/>
      <c r="K959" s="186"/>
      <c r="L959" s="186"/>
      <c r="M959" s="186"/>
      <c r="N959" s="186"/>
      <c r="O959" s="187"/>
      <c r="P959" s="186"/>
      <c r="Q959" s="186"/>
      <c r="R959" s="186"/>
      <c r="S959" s="186"/>
      <c r="T959" s="186"/>
      <c r="U959" s="186"/>
      <c r="V959" s="186"/>
      <c r="W959" s="187"/>
      <c r="X959" s="186"/>
      <c r="Y959" s="186"/>
      <c r="Z959" s="185"/>
      <c r="AA959" s="186"/>
      <c r="AB959" s="186"/>
      <c r="AC959" s="186"/>
      <c r="AD959" s="186"/>
      <c r="AE959" s="186"/>
      <c r="AF959" s="186"/>
      <c r="AG959" s="186"/>
      <c r="AH959" s="185"/>
      <c r="AJ959" s="186"/>
      <c r="AK959" s="186"/>
      <c r="AL959" s="186"/>
      <c r="AM959" s="187"/>
      <c r="AN959" s="186"/>
      <c r="AO959" s="186"/>
      <c r="AQ959" s="186"/>
      <c r="AR959" s="186"/>
      <c r="AS959" s="187"/>
      <c r="AU959" s="186"/>
      <c r="AV959" s="186"/>
      <c r="AW959" s="186"/>
      <c r="AX959" s="186"/>
      <c r="AY959" s="186"/>
      <c r="AZ959" s="186"/>
      <c r="BA959" s="186"/>
      <c r="BC959" s="186"/>
      <c r="BD959" s="186"/>
      <c r="BE959" s="187"/>
    </row>
    <row r="960" spans="6:57" x14ac:dyDescent="0.3">
      <c r="F960" s="185"/>
      <c r="H960" s="186"/>
      <c r="J960" s="186"/>
      <c r="K960" s="186"/>
      <c r="L960" s="186"/>
      <c r="M960" s="186"/>
      <c r="N960" s="186"/>
      <c r="O960" s="187"/>
      <c r="P960" s="186"/>
      <c r="Q960" s="186"/>
      <c r="R960" s="186"/>
      <c r="S960" s="186"/>
      <c r="T960" s="186"/>
      <c r="U960" s="186"/>
      <c r="V960" s="186"/>
      <c r="W960" s="187"/>
      <c r="X960" s="186"/>
      <c r="Y960" s="186"/>
      <c r="Z960" s="185"/>
      <c r="AA960" s="186"/>
      <c r="AB960" s="186"/>
      <c r="AC960" s="186"/>
      <c r="AD960" s="186"/>
      <c r="AE960" s="186"/>
      <c r="AF960" s="186"/>
      <c r="AG960" s="186"/>
      <c r="AH960" s="185"/>
      <c r="AJ960" s="186"/>
      <c r="AK960" s="186"/>
      <c r="AL960" s="186"/>
      <c r="AM960" s="187"/>
      <c r="AN960" s="186"/>
      <c r="AO960" s="186"/>
      <c r="AQ960" s="186"/>
      <c r="AR960" s="186"/>
      <c r="AS960" s="187"/>
      <c r="AU960" s="186"/>
      <c r="AV960" s="186"/>
      <c r="AW960" s="186"/>
      <c r="AX960" s="186"/>
      <c r="AY960" s="186"/>
      <c r="AZ960" s="186"/>
      <c r="BA960" s="186"/>
      <c r="BC960" s="186"/>
      <c r="BD960" s="186"/>
      <c r="BE960" s="187"/>
    </row>
    <row r="961" spans="6:57" x14ac:dyDescent="0.3">
      <c r="F961" s="185"/>
      <c r="H961" s="186"/>
      <c r="J961" s="186"/>
      <c r="K961" s="186"/>
      <c r="L961" s="186"/>
      <c r="M961" s="186"/>
      <c r="N961" s="186"/>
      <c r="O961" s="187"/>
      <c r="P961" s="186"/>
      <c r="Q961" s="186"/>
      <c r="R961" s="186"/>
      <c r="S961" s="186"/>
      <c r="T961" s="186"/>
      <c r="U961" s="186"/>
      <c r="V961" s="186"/>
      <c r="W961" s="187"/>
      <c r="X961" s="186"/>
      <c r="Y961" s="186"/>
      <c r="Z961" s="185"/>
      <c r="AA961" s="186"/>
      <c r="AB961" s="186"/>
      <c r="AC961" s="186"/>
      <c r="AD961" s="186"/>
      <c r="AE961" s="186"/>
      <c r="AF961" s="186"/>
      <c r="AG961" s="186"/>
      <c r="AH961" s="185"/>
      <c r="AJ961" s="186"/>
      <c r="AK961" s="186"/>
      <c r="AL961" s="186"/>
      <c r="AM961" s="187"/>
      <c r="AN961" s="186"/>
      <c r="AO961" s="186"/>
      <c r="AQ961" s="186"/>
      <c r="AR961" s="186"/>
      <c r="AS961" s="187"/>
      <c r="AU961" s="186"/>
      <c r="AV961" s="186"/>
      <c r="AW961" s="186"/>
      <c r="AX961" s="186"/>
      <c r="AY961" s="186"/>
      <c r="AZ961" s="186"/>
      <c r="BA961" s="186"/>
      <c r="BC961" s="186"/>
      <c r="BD961" s="186"/>
      <c r="BE961" s="187"/>
    </row>
    <row r="962" spans="6:57" x14ac:dyDescent="0.3">
      <c r="F962" s="185"/>
      <c r="H962" s="186"/>
      <c r="J962" s="186"/>
      <c r="K962" s="186"/>
      <c r="L962" s="186"/>
      <c r="M962" s="186"/>
      <c r="N962" s="186"/>
      <c r="O962" s="187"/>
      <c r="P962" s="186"/>
      <c r="Q962" s="186"/>
      <c r="R962" s="186"/>
      <c r="S962" s="186"/>
      <c r="T962" s="186"/>
      <c r="U962" s="186"/>
      <c r="V962" s="186"/>
      <c r="W962" s="187"/>
      <c r="X962" s="186"/>
      <c r="Y962" s="186"/>
      <c r="Z962" s="185"/>
      <c r="AA962" s="186"/>
      <c r="AB962" s="186"/>
      <c r="AC962" s="186"/>
      <c r="AD962" s="186"/>
      <c r="AE962" s="186"/>
      <c r="AF962" s="186"/>
      <c r="AG962" s="186"/>
      <c r="AH962" s="185"/>
      <c r="AJ962" s="186"/>
      <c r="AK962" s="186"/>
      <c r="AL962" s="186"/>
      <c r="AM962" s="187"/>
      <c r="AN962" s="186"/>
      <c r="AO962" s="186"/>
      <c r="AQ962" s="186"/>
      <c r="AR962" s="186"/>
      <c r="AS962" s="187"/>
      <c r="AU962" s="186"/>
      <c r="AV962" s="186"/>
      <c r="AW962" s="186"/>
      <c r="AX962" s="186"/>
      <c r="AY962" s="186"/>
      <c r="AZ962" s="186"/>
      <c r="BA962" s="186"/>
      <c r="BC962" s="186"/>
      <c r="BD962" s="186"/>
      <c r="BE962" s="187"/>
    </row>
    <row r="963" spans="6:57" x14ac:dyDescent="0.3">
      <c r="F963" s="185"/>
      <c r="H963" s="186"/>
      <c r="J963" s="186"/>
      <c r="K963" s="186"/>
      <c r="L963" s="186"/>
      <c r="M963" s="186"/>
      <c r="N963" s="186"/>
      <c r="O963" s="187"/>
      <c r="P963" s="186"/>
      <c r="Q963" s="186"/>
      <c r="R963" s="186"/>
      <c r="S963" s="186"/>
      <c r="T963" s="186"/>
      <c r="U963" s="186"/>
      <c r="V963" s="186"/>
      <c r="W963" s="187"/>
      <c r="X963" s="186"/>
      <c r="Y963" s="186"/>
      <c r="Z963" s="185"/>
      <c r="AA963" s="186"/>
      <c r="AB963" s="186"/>
      <c r="AC963" s="186"/>
      <c r="AD963" s="186"/>
      <c r="AE963" s="186"/>
      <c r="AF963" s="186"/>
      <c r="AG963" s="186"/>
      <c r="AH963" s="185"/>
      <c r="AJ963" s="186"/>
      <c r="AK963" s="186"/>
      <c r="AL963" s="186"/>
      <c r="AM963" s="187"/>
      <c r="AN963" s="186"/>
      <c r="AO963" s="186"/>
      <c r="AQ963" s="186"/>
      <c r="AR963" s="186"/>
      <c r="AS963" s="187"/>
      <c r="AU963" s="186"/>
      <c r="AV963" s="186"/>
      <c r="AW963" s="186"/>
      <c r="AX963" s="186"/>
      <c r="AY963" s="186"/>
      <c r="AZ963" s="186"/>
      <c r="BA963" s="186"/>
      <c r="BC963" s="186"/>
      <c r="BD963" s="186"/>
      <c r="BE963" s="187"/>
    </row>
    <row r="964" spans="6:57" x14ac:dyDescent="0.3">
      <c r="F964" s="185"/>
      <c r="H964" s="186"/>
      <c r="J964" s="186"/>
      <c r="K964" s="186"/>
      <c r="L964" s="186"/>
      <c r="M964" s="186"/>
      <c r="N964" s="186"/>
      <c r="O964" s="187"/>
      <c r="P964" s="186"/>
      <c r="Q964" s="186"/>
      <c r="R964" s="186"/>
      <c r="S964" s="186"/>
      <c r="T964" s="186"/>
      <c r="U964" s="186"/>
      <c r="V964" s="186"/>
      <c r="W964" s="187"/>
      <c r="X964" s="186"/>
      <c r="Y964" s="186"/>
      <c r="Z964" s="185"/>
      <c r="AA964" s="186"/>
      <c r="AB964" s="186"/>
      <c r="AC964" s="186"/>
      <c r="AD964" s="186"/>
      <c r="AE964" s="186"/>
      <c r="AF964" s="186"/>
      <c r="AG964" s="186"/>
      <c r="AH964" s="185"/>
      <c r="AJ964" s="186"/>
      <c r="AK964" s="186"/>
      <c r="AL964" s="186"/>
      <c r="AM964" s="187"/>
      <c r="AN964" s="186"/>
      <c r="AO964" s="186"/>
      <c r="AQ964" s="186"/>
      <c r="AR964" s="186"/>
      <c r="AS964" s="187"/>
      <c r="AU964" s="186"/>
      <c r="AV964" s="186"/>
      <c r="AW964" s="186"/>
      <c r="AX964" s="186"/>
      <c r="AY964" s="186"/>
      <c r="AZ964" s="186"/>
      <c r="BA964" s="186"/>
      <c r="BC964" s="186"/>
      <c r="BD964" s="186"/>
      <c r="BE964" s="187"/>
    </row>
    <row r="965" spans="6:57" x14ac:dyDescent="0.3">
      <c r="F965" s="185"/>
      <c r="H965" s="186"/>
      <c r="J965" s="186"/>
      <c r="K965" s="186"/>
      <c r="L965" s="186"/>
      <c r="M965" s="186"/>
      <c r="N965" s="186"/>
      <c r="O965" s="187"/>
      <c r="P965" s="186"/>
      <c r="Q965" s="186"/>
      <c r="R965" s="186"/>
      <c r="S965" s="186"/>
      <c r="T965" s="186"/>
      <c r="U965" s="186"/>
      <c r="V965" s="186"/>
      <c r="W965" s="187"/>
      <c r="X965" s="186"/>
      <c r="Y965" s="186"/>
      <c r="Z965" s="185"/>
      <c r="AA965" s="186"/>
      <c r="AB965" s="186"/>
      <c r="AC965" s="186"/>
      <c r="AD965" s="186"/>
      <c r="AE965" s="186"/>
      <c r="AF965" s="186"/>
      <c r="AG965" s="186"/>
      <c r="AH965" s="185"/>
      <c r="AJ965" s="186"/>
      <c r="AK965" s="186"/>
      <c r="AL965" s="186"/>
      <c r="AM965" s="187"/>
      <c r="AN965" s="186"/>
      <c r="AO965" s="186"/>
      <c r="AQ965" s="186"/>
      <c r="AR965" s="186"/>
      <c r="AS965" s="187"/>
      <c r="AU965" s="186"/>
      <c r="AV965" s="186"/>
      <c r="AW965" s="186"/>
      <c r="AX965" s="186"/>
      <c r="AY965" s="186"/>
      <c r="AZ965" s="186"/>
      <c r="BA965" s="186"/>
      <c r="BC965" s="186"/>
      <c r="BD965" s="186"/>
      <c r="BE965" s="187"/>
    </row>
    <row r="966" spans="6:57" x14ac:dyDescent="0.3">
      <c r="F966" s="185"/>
      <c r="H966" s="186"/>
      <c r="J966" s="186"/>
      <c r="K966" s="186"/>
      <c r="L966" s="186"/>
      <c r="M966" s="186"/>
      <c r="N966" s="186"/>
      <c r="O966" s="187"/>
      <c r="P966" s="186"/>
      <c r="Q966" s="186"/>
      <c r="R966" s="186"/>
      <c r="S966" s="186"/>
      <c r="T966" s="186"/>
      <c r="U966" s="186"/>
      <c r="V966" s="186"/>
      <c r="W966" s="187"/>
      <c r="X966" s="186"/>
      <c r="Y966" s="186"/>
      <c r="Z966" s="185"/>
      <c r="AA966" s="186"/>
      <c r="AB966" s="186"/>
      <c r="AC966" s="186"/>
      <c r="AD966" s="186"/>
      <c r="AE966" s="186"/>
      <c r="AF966" s="186"/>
      <c r="AG966" s="186"/>
      <c r="AH966" s="185"/>
      <c r="AJ966" s="186"/>
      <c r="AK966" s="186"/>
      <c r="AL966" s="186"/>
      <c r="AM966" s="187"/>
      <c r="AN966" s="186"/>
      <c r="AO966" s="186"/>
      <c r="AQ966" s="186"/>
      <c r="AR966" s="186"/>
      <c r="AS966" s="187"/>
      <c r="AU966" s="186"/>
      <c r="AV966" s="186"/>
      <c r="AW966" s="186"/>
      <c r="AX966" s="186"/>
      <c r="AY966" s="186"/>
      <c r="AZ966" s="186"/>
      <c r="BA966" s="186"/>
      <c r="BC966" s="186"/>
      <c r="BD966" s="186"/>
      <c r="BE966" s="187"/>
    </row>
    <row r="967" spans="6:57" x14ac:dyDescent="0.3">
      <c r="F967" s="185"/>
      <c r="H967" s="186"/>
      <c r="J967" s="186"/>
      <c r="K967" s="186"/>
      <c r="L967" s="186"/>
      <c r="M967" s="186"/>
      <c r="N967" s="186"/>
      <c r="O967" s="187"/>
      <c r="P967" s="186"/>
      <c r="Q967" s="186"/>
      <c r="R967" s="186"/>
      <c r="S967" s="186"/>
      <c r="T967" s="186"/>
      <c r="U967" s="186"/>
      <c r="V967" s="186"/>
      <c r="W967" s="187"/>
      <c r="X967" s="186"/>
      <c r="Y967" s="186"/>
      <c r="Z967" s="185"/>
      <c r="AA967" s="186"/>
      <c r="AB967" s="186"/>
      <c r="AC967" s="186"/>
      <c r="AD967" s="186"/>
      <c r="AE967" s="186"/>
      <c r="AF967" s="186"/>
      <c r="AG967" s="186"/>
      <c r="AH967" s="185"/>
      <c r="AJ967" s="186"/>
      <c r="AK967" s="186"/>
      <c r="AL967" s="186"/>
      <c r="AM967" s="187"/>
      <c r="AN967" s="186"/>
      <c r="AO967" s="186"/>
      <c r="AQ967" s="186"/>
      <c r="AR967" s="186"/>
      <c r="AS967" s="187"/>
      <c r="AU967" s="186"/>
      <c r="AV967" s="186"/>
      <c r="AW967" s="186"/>
      <c r="AX967" s="186"/>
      <c r="AY967" s="186"/>
      <c r="AZ967" s="186"/>
      <c r="BA967" s="186"/>
      <c r="BC967" s="186"/>
      <c r="BD967" s="186"/>
      <c r="BE967" s="187"/>
    </row>
    <row r="968" spans="6:57" x14ac:dyDescent="0.3">
      <c r="F968" s="185"/>
      <c r="H968" s="186"/>
      <c r="J968" s="186"/>
      <c r="K968" s="186"/>
      <c r="L968" s="186"/>
      <c r="M968" s="186"/>
      <c r="N968" s="186"/>
      <c r="O968" s="187"/>
      <c r="P968" s="186"/>
      <c r="Q968" s="186"/>
      <c r="R968" s="186"/>
      <c r="S968" s="186"/>
      <c r="T968" s="186"/>
      <c r="U968" s="186"/>
      <c r="V968" s="186"/>
      <c r="W968" s="187"/>
      <c r="X968" s="186"/>
      <c r="Y968" s="186"/>
      <c r="Z968" s="185"/>
      <c r="AA968" s="186"/>
      <c r="AB968" s="186"/>
      <c r="AC968" s="186"/>
      <c r="AD968" s="186"/>
      <c r="AE968" s="186"/>
      <c r="AF968" s="186"/>
      <c r="AG968" s="186"/>
      <c r="AH968" s="185"/>
      <c r="AJ968" s="186"/>
      <c r="AK968" s="186"/>
      <c r="AL968" s="186"/>
      <c r="AM968" s="187"/>
      <c r="AN968" s="186"/>
      <c r="AO968" s="186"/>
      <c r="AQ968" s="186"/>
      <c r="AR968" s="186"/>
      <c r="AS968" s="187"/>
      <c r="AU968" s="186"/>
      <c r="AV968" s="186"/>
      <c r="AW968" s="186"/>
      <c r="AX968" s="186"/>
      <c r="AY968" s="186"/>
      <c r="AZ968" s="186"/>
      <c r="BA968" s="186"/>
      <c r="BC968" s="186"/>
      <c r="BD968" s="186"/>
      <c r="BE968" s="187"/>
    </row>
    <row r="969" spans="6:57" x14ac:dyDescent="0.3">
      <c r="F969" s="185"/>
      <c r="H969" s="186"/>
      <c r="J969" s="186"/>
      <c r="K969" s="186"/>
      <c r="L969" s="186"/>
      <c r="M969" s="186"/>
      <c r="N969" s="186"/>
      <c r="O969" s="187"/>
      <c r="P969" s="186"/>
      <c r="Q969" s="186"/>
      <c r="R969" s="186"/>
      <c r="S969" s="186"/>
      <c r="T969" s="186"/>
      <c r="U969" s="186"/>
      <c r="V969" s="186"/>
      <c r="W969" s="187"/>
      <c r="X969" s="186"/>
      <c r="Y969" s="186"/>
      <c r="Z969" s="185"/>
      <c r="AA969" s="186"/>
      <c r="AB969" s="186"/>
      <c r="AC969" s="186"/>
      <c r="AD969" s="186"/>
      <c r="AE969" s="186"/>
      <c r="AF969" s="186"/>
      <c r="AG969" s="186"/>
      <c r="AH969" s="185"/>
      <c r="AJ969" s="186"/>
      <c r="AK969" s="186"/>
      <c r="AL969" s="186"/>
      <c r="AM969" s="187"/>
      <c r="AN969" s="186"/>
      <c r="AO969" s="186"/>
      <c r="AQ969" s="186"/>
      <c r="AR969" s="186"/>
      <c r="AS969" s="187"/>
      <c r="AU969" s="186"/>
      <c r="AV969" s="186"/>
      <c r="AW969" s="186"/>
      <c r="AX969" s="186"/>
      <c r="AY969" s="186"/>
      <c r="AZ969" s="186"/>
      <c r="BA969" s="186"/>
      <c r="BC969" s="186"/>
      <c r="BD969" s="186"/>
      <c r="BE969" s="187"/>
    </row>
    <row r="970" spans="6:57" x14ac:dyDescent="0.3">
      <c r="F970" s="185"/>
      <c r="H970" s="186"/>
      <c r="J970" s="186"/>
      <c r="K970" s="186"/>
      <c r="L970" s="186"/>
      <c r="M970" s="186"/>
      <c r="N970" s="186"/>
      <c r="O970" s="187"/>
      <c r="P970" s="186"/>
      <c r="Q970" s="186"/>
      <c r="R970" s="186"/>
      <c r="S970" s="186"/>
      <c r="T970" s="186"/>
      <c r="U970" s="186"/>
      <c r="V970" s="186"/>
      <c r="W970" s="187"/>
      <c r="X970" s="186"/>
      <c r="Y970" s="186"/>
      <c r="Z970" s="185"/>
      <c r="AA970" s="186"/>
      <c r="AB970" s="186"/>
      <c r="AC970" s="186"/>
      <c r="AD970" s="186"/>
      <c r="AE970" s="186"/>
      <c r="AF970" s="186"/>
      <c r="AG970" s="186"/>
      <c r="AH970" s="185"/>
      <c r="AJ970" s="186"/>
      <c r="AK970" s="186"/>
      <c r="AL970" s="186"/>
      <c r="AM970" s="187"/>
      <c r="AN970" s="186"/>
      <c r="AO970" s="186"/>
      <c r="AQ970" s="186"/>
      <c r="AR970" s="186"/>
      <c r="AS970" s="187"/>
      <c r="AU970" s="186"/>
      <c r="AV970" s="186"/>
      <c r="AW970" s="186"/>
      <c r="AX970" s="186"/>
      <c r="AY970" s="186"/>
      <c r="AZ970" s="186"/>
      <c r="BA970" s="186"/>
      <c r="BC970" s="186"/>
      <c r="BD970" s="186"/>
      <c r="BE970" s="187"/>
    </row>
    <row r="971" spans="6:57" x14ac:dyDescent="0.3">
      <c r="F971" s="185"/>
      <c r="H971" s="186"/>
      <c r="J971" s="186"/>
      <c r="K971" s="186"/>
      <c r="L971" s="186"/>
      <c r="M971" s="186"/>
      <c r="N971" s="186"/>
      <c r="O971" s="187"/>
      <c r="P971" s="186"/>
      <c r="Q971" s="186"/>
      <c r="R971" s="186"/>
      <c r="S971" s="186"/>
      <c r="T971" s="186"/>
      <c r="U971" s="186"/>
      <c r="V971" s="186"/>
      <c r="W971" s="187"/>
      <c r="X971" s="186"/>
      <c r="Y971" s="186"/>
      <c r="Z971" s="185"/>
      <c r="AA971" s="186"/>
      <c r="AB971" s="186"/>
      <c r="AC971" s="186"/>
      <c r="AD971" s="186"/>
      <c r="AE971" s="186"/>
      <c r="AF971" s="186"/>
      <c r="AG971" s="186"/>
      <c r="AH971" s="185"/>
      <c r="AJ971" s="186"/>
      <c r="AK971" s="186"/>
      <c r="AL971" s="186"/>
      <c r="AM971" s="187"/>
      <c r="AN971" s="186"/>
      <c r="AO971" s="186"/>
      <c r="AQ971" s="186"/>
      <c r="AR971" s="186"/>
      <c r="AS971" s="187"/>
      <c r="AU971" s="186"/>
      <c r="AV971" s="186"/>
      <c r="AW971" s="186"/>
      <c r="AX971" s="186"/>
      <c r="AY971" s="186"/>
      <c r="AZ971" s="186"/>
      <c r="BA971" s="186"/>
      <c r="BC971" s="186"/>
      <c r="BD971" s="186"/>
      <c r="BE971" s="187"/>
    </row>
    <row r="972" spans="6:57" x14ac:dyDescent="0.3">
      <c r="F972" s="185"/>
      <c r="H972" s="186"/>
      <c r="J972" s="186"/>
      <c r="K972" s="186"/>
      <c r="L972" s="186"/>
      <c r="M972" s="186"/>
      <c r="N972" s="186"/>
      <c r="O972" s="187"/>
      <c r="P972" s="186"/>
      <c r="Q972" s="186"/>
      <c r="R972" s="186"/>
      <c r="S972" s="186"/>
      <c r="T972" s="186"/>
      <c r="U972" s="186"/>
      <c r="V972" s="186"/>
      <c r="W972" s="187"/>
      <c r="X972" s="186"/>
      <c r="Y972" s="186"/>
      <c r="Z972" s="185"/>
      <c r="AA972" s="186"/>
      <c r="AB972" s="186"/>
      <c r="AC972" s="186"/>
      <c r="AD972" s="186"/>
      <c r="AE972" s="186"/>
      <c r="AF972" s="186"/>
      <c r="AG972" s="186"/>
      <c r="AH972" s="185"/>
      <c r="AJ972" s="186"/>
      <c r="AK972" s="186"/>
      <c r="AL972" s="186"/>
      <c r="AM972" s="187"/>
      <c r="AN972" s="186"/>
      <c r="AO972" s="186"/>
      <c r="AQ972" s="186"/>
      <c r="AR972" s="186"/>
      <c r="AS972" s="187"/>
      <c r="AU972" s="186"/>
      <c r="AV972" s="186"/>
      <c r="AW972" s="186"/>
      <c r="AX972" s="186"/>
      <c r="AY972" s="186"/>
      <c r="AZ972" s="186"/>
      <c r="BA972" s="186"/>
      <c r="BC972" s="186"/>
      <c r="BD972" s="186"/>
      <c r="BE972" s="187"/>
    </row>
    <row r="973" spans="6:57" x14ac:dyDescent="0.3">
      <c r="F973" s="185"/>
      <c r="H973" s="186"/>
      <c r="J973" s="186"/>
      <c r="K973" s="186"/>
      <c r="L973" s="186"/>
      <c r="M973" s="186"/>
      <c r="N973" s="186"/>
      <c r="O973" s="187"/>
      <c r="P973" s="186"/>
      <c r="Q973" s="186"/>
      <c r="R973" s="186"/>
      <c r="S973" s="186"/>
      <c r="T973" s="186"/>
      <c r="U973" s="186"/>
      <c r="V973" s="186"/>
      <c r="W973" s="187"/>
      <c r="X973" s="186"/>
      <c r="Y973" s="186"/>
      <c r="Z973" s="185"/>
      <c r="AA973" s="186"/>
      <c r="AB973" s="186"/>
      <c r="AC973" s="186"/>
      <c r="AD973" s="186"/>
      <c r="AE973" s="186"/>
      <c r="AF973" s="186"/>
      <c r="AG973" s="186"/>
      <c r="AH973" s="185"/>
      <c r="AJ973" s="186"/>
      <c r="AK973" s="186"/>
      <c r="AL973" s="186"/>
      <c r="AM973" s="187"/>
      <c r="AN973" s="186"/>
      <c r="AO973" s="186"/>
      <c r="AQ973" s="186"/>
      <c r="AR973" s="186"/>
      <c r="AS973" s="187"/>
      <c r="AU973" s="186"/>
      <c r="AV973" s="186"/>
      <c r="AW973" s="186"/>
      <c r="AX973" s="186"/>
      <c r="AY973" s="186"/>
      <c r="AZ973" s="186"/>
      <c r="BA973" s="186"/>
      <c r="BC973" s="186"/>
      <c r="BD973" s="186"/>
      <c r="BE973" s="187"/>
    </row>
    <row r="974" spans="6:57" x14ac:dyDescent="0.3">
      <c r="F974" s="185"/>
      <c r="H974" s="186"/>
      <c r="J974" s="186"/>
      <c r="K974" s="186"/>
      <c r="L974" s="186"/>
      <c r="M974" s="186"/>
      <c r="N974" s="186"/>
      <c r="O974" s="187"/>
      <c r="P974" s="186"/>
      <c r="Q974" s="186"/>
      <c r="R974" s="186"/>
      <c r="S974" s="186"/>
      <c r="T974" s="186"/>
      <c r="U974" s="186"/>
      <c r="V974" s="186"/>
      <c r="W974" s="187"/>
      <c r="X974" s="186"/>
      <c r="Y974" s="186"/>
      <c r="Z974" s="185"/>
      <c r="AA974" s="186"/>
      <c r="AB974" s="186"/>
      <c r="AC974" s="186"/>
      <c r="AD974" s="186"/>
      <c r="AE974" s="186"/>
      <c r="AF974" s="186"/>
      <c r="AG974" s="186"/>
      <c r="AH974" s="185"/>
      <c r="AJ974" s="186"/>
      <c r="AK974" s="186"/>
      <c r="AL974" s="186"/>
      <c r="AM974" s="187"/>
      <c r="AN974" s="186"/>
      <c r="AO974" s="186"/>
      <c r="AQ974" s="186"/>
      <c r="AR974" s="186"/>
      <c r="AS974" s="187"/>
      <c r="AU974" s="186"/>
      <c r="AV974" s="186"/>
      <c r="AW974" s="186"/>
      <c r="AX974" s="186"/>
      <c r="AY974" s="186"/>
      <c r="AZ974" s="186"/>
      <c r="BA974" s="186"/>
      <c r="BC974" s="186"/>
      <c r="BD974" s="186"/>
      <c r="BE974" s="187"/>
    </row>
    <row r="975" spans="6:57" x14ac:dyDescent="0.3">
      <c r="F975" s="185"/>
      <c r="H975" s="186"/>
      <c r="J975" s="186"/>
      <c r="K975" s="186"/>
      <c r="L975" s="186"/>
      <c r="M975" s="186"/>
      <c r="N975" s="186"/>
      <c r="O975" s="187"/>
      <c r="P975" s="186"/>
      <c r="Q975" s="186"/>
      <c r="R975" s="186"/>
      <c r="S975" s="186"/>
      <c r="T975" s="186"/>
      <c r="U975" s="186"/>
      <c r="V975" s="186"/>
      <c r="W975" s="187"/>
      <c r="X975" s="186"/>
      <c r="Y975" s="186"/>
      <c r="Z975" s="185"/>
      <c r="AA975" s="186"/>
      <c r="AB975" s="186"/>
      <c r="AC975" s="186"/>
      <c r="AD975" s="186"/>
      <c r="AE975" s="186"/>
      <c r="AF975" s="186"/>
      <c r="AG975" s="186"/>
      <c r="AH975" s="185"/>
      <c r="AJ975" s="186"/>
      <c r="AK975" s="186"/>
      <c r="AL975" s="186"/>
      <c r="AM975" s="187"/>
      <c r="AN975" s="186"/>
      <c r="AO975" s="186"/>
      <c r="AQ975" s="186"/>
      <c r="AR975" s="186"/>
      <c r="AS975" s="187"/>
      <c r="AU975" s="186"/>
      <c r="AV975" s="186"/>
      <c r="AW975" s="186"/>
      <c r="AX975" s="186"/>
      <c r="AY975" s="186"/>
      <c r="AZ975" s="186"/>
      <c r="BA975" s="186"/>
      <c r="BC975" s="186"/>
      <c r="BD975" s="186"/>
      <c r="BE975" s="187"/>
    </row>
    <row r="976" spans="6:57" x14ac:dyDescent="0.3">
      <c r="F976" s="185"/>
      <c r="H976" s="186"/>
      <c r="J976" s="186"/>
      <c r="K976" s="186"/>
      <c r="L976" s="186"/>
      <c r="M976" s="186"/>
      <c r="N976" s="186"/>
      <c r="O976" s="187"/>
      <c r="P976" s="186"/>
      <c r="Q976" s="186"/>
      <c r="R976" s="186"/>
      <c r="S976" s="186"/>
      <c r="T976" s="186"/>
      <c r="U976" s="186"/>
      <c r="V976" s="186"/>
      <c r="W976" s="187"/>
      <c r="X976" s="186"/>
      <c r="Y976" s="186"/>
      <c r="Z976" s="185"/>
      <c r="AA976" s="186"/>
      <c r="AB976" s="186"/>
      <c r="AC976" s="186"/>
      <c r="AD976" s="186"/>
      <c r="AE976" s="186"/>
      <c r="AF976" s="186"/>
      <c r="AG976" s="186"/>
      <c r="AH976" s="185"/>
      <c r="AJ976" s="186"/>
      <c r="AK976" s="186"/>
      <c r="AL976" s="186"/>
      <c r="AM976" s="187"/>
      <c r="AN976" s="186"/>
      <c r="AO976" s="186"/>
      <c r="AQ976" s="186"/>
      <c r="AR976" s="186"/>
      <c r="AS976" s="187"/>
      <c r="AU976" s="186"/>
      <c r="AV976" s="186"/>
      <c r="AW976" s="186"/>
      <c r="AX976" s="186"/>
      <c r="AY976" s="186"/>
      <c r="AZ976" s="186"/>
      <c r="BA976" s="186"/>
      <c r="BC976" s="186"/>
      <c r="BD976" s="186"/>
      <c r="BE976" s="187"/>
    </row>
    <row r="977" spans="6:57" x14ac:dyDescent="0.3">
      <c r="F977" s="185"/>
      <c r="H977" s="186"/>
      <c r="J977" s="186"/>
      <c r="K977" s="186"/>
      <c r="L977" s="186"/>
      <c r="M977" s="186"/>
      <c r="N977" s="186"/>
      <c r="O977" s="187"/>
      <c r="P977" s="186"/>
      <c r="Q977" s="186"/>
      <c r="R977" s="186"/>
      <c r="S977" s="186"/>
      <c r="T977" s="186"/>
      <c r="U977" s="186"/>
      <c r="V977" s="186"/>
      <c r="W977" s="187"/>
      <c r="X977" s="186"/>
      <c r="Y977" s="186"/>
      <c r="Z977" s="185"/>
      <c r="AA977" s="186"/>
      <c r="AB977" s="186"/>
      <c r="AC977" s="186"/>
      <c r="AD977" s="186"/>
      <c r="AE977" s="186"/>
      <c r="AF977" s="186"/>
      <c r="AG977" s="186"/>
      <c r="AH977" s="185"/>
      <c r="AJ977" s="186"/>
      <c r="AK977" s="186"/>
      <c r="AL977" s="186"/>
      <c r="AM977" s="187"/>
      <c r="AN977" s="186"/>
      <c r="AO977" s="186"/>
      <c r="AQ977" s="186"/>
      <c r="AR977" s="186"/>
      <c r="AS977" s="187"/>
      <c r="AU977" s="186"/>
      <c r="AV977" s="186"/>
      <c r="AW977" s="186"/>
      <c r="AX977" s="186"/>
      <c r="AY977" s="186"/>
      <c r="AZ977" s="186"/>
      <c r="BA977" s="186"/>
      <c r="BC977" s="186"/>
      <c r="BD977" s="186"/>
      <c r="BE977" s="187"/>
    </row>
    <row r="978" spans="6:57" x14ac:dyDescent="0.3">
      <c r="F978" s="185"/>
      <c r="H978" s="186"/>
      <c r="J978" s="186"/>
      <c r="K978" s="186"/>
      <c r="L978" s="186"/>
      <c r="M978" s="186"/>
      <c r="N978" s="186"/>
      <c r="O978" s="187"/>
      <c r="P978" s="186"/>
      <c r="Q978" s="186"/>
      <c r="R978" s="186"/>
      <c r="S978" s="186"/>
      <c r="T978" s="186"/>
      <c r="U978" s="186"/>
      <c r="V978" s="186"/>
      <c r="W978" s="187"/>
      <c r="X978" s="186"/>
      <c r="Y978" s="186"/>
      <c r="Z978" s="185"/>
      <c r="AA978" s="186"/>
      <c r="AB978" s="186"/>
      <c r="AC978" s="186"/>
      <c r="AD978" s="186"/>
      <c r="AE978" s="186"/>
      <c r="AF978" s="186"/>
      <c r="AG978" s="186"/>
      <c r="AH978" s="185"/>
      <c r="AJ978" s="186"/>
      <c r="AK978" s="186"/>
      <c r="AL978" s="186"/>
      <c r="AM978" s="187"/>
      <c r="AN978" s="186"/>
      <c r="AO978" s="186"/>
      <c r="AQ978" s="186"/>
      <c r="AR978" s="186"/>
      <c r="AS978" s="187"/>
      <c r="AU978" s="186"/>
      <c r="AV978" s="186"/>
      <c r="AW978" s="186"/>
      <c r="AX978" s="186"/>
      <c r="AY978" s="186"/>
      <c r="AZ978" s="186"/>
      <c r="BA978" s="186"/>
      <c r="BC978" s="186"/>
      <c r="BD978" s="186"/>
      <c r="BE978" s="187"/>
    </row>
    <row r="979" spans="6:57" x14ac:dyDescent="0.3">
      <c r="F979" s="185"/>
      <c r="H979" s="186"/>
      <c r="J979" s="186"/>
      <c r="K979" s="186"/>
      <c r="L979" s="186"/>
      <c r="M979" s="186"/>
      <c r="N979" s="186"/>
      <c r="O979" s="187"/>
      <c r="P979" s="186"/>
      <c r="Q979" s="186"/>
      <c r="R979" s="186"/>
      <c r="S979" s="186"/>
      <c r="T979" s="186"/>
      <c r="U979" s="186"/>
      <c r="V979" s="186"/>
      <c r="W979" s="187"/>
      <c r="X979" s="186"/>
      <c r="Y979" s="186"/>
      <c r="Z979" s="185"/>
      <c r="AA979" s="186"/>
      <c r="AB979" s="186"/>
      <c r="AC979" s="186"/>
      <c r="AD979" s="186"/>
      <c r="AE979" s="186"/>
      <c r="AF979" s="186"/>
      <c r="AG979" s="186"/>
      <c r="AH979" s="185"/>
      <c r="AJ979" s="186"/>
      <c r="AK979" s="186"/>
      <c r="AL979" s="186"/>
      <c r="AM979" s="187"/>
      <c r="AN979" s="186"/>
      <c r="AO979" s="186"/>
      <c r="AQ979" s="186"/>
      <c r="AR979" s="186"/>
      <c r="AS979" s="187"/>
      <c r="AU979" s="186"/>
      <c r="AV979" s="186"/>
      <c r="AW979" s="186"/>
      <c r="AX979" s="186"/>
      <c r="AY979" s="186"/>
      <c r="AZ979" s="186"/>
      <c r="BA979" s="186"/>
      <c r="BC979" s="186"/>
      <c r="BD979" s="186"/>
      <c r="BE979" s="187"/>
    </row>
    <row r="980" spans="6:57" x14ac:dyDescent="0.3">
      <c r="F980" s="185"/>
      <c r="H980" s="186"/>
      <c r="J980" s="186"/>
      <c r="K980" s="186"/>
      <c r="L980" s="186"/>
      <c r="M980" s="186"/>
      <c r="N980" s="186"/>
      <c r="O980" s="187"/>
      <c r="P980" s="186"/>
      <c r="Q980" s="186"/>
      <c r="R980" s="186"/>
      <c r="S980" s="186"/>
      <c r="T980" s="186"/>
      <c r="U980" s="186"/>
      <c r="V980" s="186"/>
      <c r="W980" s="187"/>
      <c r="X980" s="186"/>
      <c r="Y980" s="186"/>
      <c r="Z980" s="185"/>
      <c r="AA980" s="186"/>
      <c r="AB980" s="186"/>
      <c r="AC980" s="186"/>
      <c r="AD980" s="186"/>
      <c r="AE980" s="186"/>
      <c r="AF980" s="186"/>
      <c r="AG980" s="186"/>
      <c r="AH980" s="185"/>
      <c r="AJ980" s="186"/>
      <c r="AK980" s="186"/>
      <c r="AL980" s="186"/>
      <c r="AM980" s="187"/>
      <c r="AN980" s="186"/>
      <c r="AO980" s="186"/>
      <c r="AQ980" s="186"/>
      <c r="AR980" s="186"/>
      <c r="AS980" s="187"/>
      <c r="AU980" s="186"/>
      <c r="AV980" s="186"/>
      <c r="AW980" s="186"/>
      <c r="AX980" s="186"/>
      <c r="AY980" s="186"/>
      <c r="AZ980" s="186"/>
      <c r="BA980" s="186"/>
      <c r="BC980" s="186"/>
      <c r="BD980" s="186"/>
      <c r="BE980" s="187"/>
    </row>
    <row r="981" spans="6:57" x14ac:dyDescent="0.3">
      <c r="F981" s="185"/>
      <c r="H981" s="186"/>
      <c r="J981" s="186"/>
      <c r="K981" s="186"/>
      <c r="L981" s="186"/>
      <c r="M981" s="186"/>
      <c r="N981" s="186"/>
      <c r="O981" s="187"/>
      <c r="P981" s="186"/>
      <c r="Q981" s="186"/>
      <c r="R981" s="186"/>
      <c r="S981" s="186"/>
      <c r="T981" s="186"/>
      <c r="U981" s="186"/>
      <c r="V981" s="186"/>
      <c r="W981" s="187"/>
      <c r="X981" s="186"/>
      <c r="Y981" s="186"/>
      <c r="Z981" s="185"/>
      <c r="AA981" s="186"/>
      <c r="AB981" s="186"/>
      <c r="AC981" s="186"/>
      <c r="AD981" s="186"/>
      <c r="AE981" s="186"/>
      <c r="AF981" s="186"/>
      <c r="AG981" s="186"/>
      <c r="AH981" s="185"/>
      <c r="AJ981" s="186"/>
      <c r="AK981" s="186"/>
      <c r="AL981" s="186"/>
      <c r="AM981" s="187"/>
      <c r="AN981" s="186"/>
      <c r="AO981" s="186"/>
      <c r="AQ981" s="186"/>
      <c r="AR981" s="186"/>
      <c r="AS981" s="187"/>
      <c r="AU981" s="186"/>
      <c r="AV981" s="186"/>
      <c r="AW981" s="186"/>
      <c r="AX981" s="186"/>
      <c r="AY981" s="186"/>
      <c r="AZ981" s="186"/>
      <c r="BA981" s="186"/>
      <c r="BC981" s="186"/>
      <c r="BD981" s="186"/>
      <c r="BE981" s="187"/>
    </row>
    <row r="982" spans="6:57" x14ac:dyDescent="0.3">
      <c r="F982" s="185"/>
      <c r="H982" s="186"/>
      <c r="J982" s="186"/>
      <c r="K982" s="186"/>
      <c r="L982" s="186"/>
      <c r="M982" s="186"/>
      <c r="N982" s="186"/>
      <c r="O982" s="187"/>
      <c r="P982" s="186"/>
      <c r="Q982" s="186"/>
      <c r="R982" s="186"/>
      <c r="S982" s="186"/>
      <c r="T982" s="186"/>
      <c r="U982" s="186"/>
      <c r="V982" s="186"/>
      <c r="W982" s="187"/>
      <c r="X982" s="186"/>
      <c r="Y982" s="186"/>
      <c r="Z982" s="185"/>
      <c r="AA982" s="186"/>
      <c r="AB982" s="186"/>
      <c r="AC982" s="186"/>
      <c r="AD982" s="186"/>
      <c r="AE982" s="186"/>
      <c r="AF982" s="186"/>
      <c r="AG982" s="186"/>
      <c r="AH982" s="185"/>
      <c r="AJ982" s="186"/>
      <c r="AK982" s="186"/>
      <c r="AL982" s="186"/>
      <c r="AM982" s="187"/>
      <c r="AN982" s="186"/>
      <c r="AO982" s="186"/>
      <c r="AQ982" s="186"/>
      <c r="AR982" s="186"/>
      <c r="AS982" s="187"/>
      <c r="AU982" s="186"/>
      <c r="AV982" s="186"/>
      <c r="AW982" s="186"/>
      <c r="AX982" s="186"/>
      <c r="AY982" s="186"/>
      <c r="AZ982" s="186"/>
      <c r="BA982" s="186"/>
      <c r="BC982" s="186"/>
      <c r="BD982" s="186"/>
      <c r="BE982" s="187"/>
    </row>
    <row r="983" spans="6:57" x14ac:dyDescent="0.3">
      <c r="F983" s="185"/>
      <c r="H983" s="186"/>
      <c r="J983" s="186"/>
      <c r="K983" s="186"/>
      <c r="L983" s="186"/>
      <c r="M983" s="186"/>
      <c r="N983" s="186"/>
      <c r="O983" s="187"/>
      <c r="P983" s="186"/>
      <c r="Q983" s="186"/>
      <c r="R983" s="186"/>
      <c r="S983" s="186"/>
      <c r="T983" s="186"/>
      <c r="U983" s="186"/>
      <c r="V983" s="186"/>
      <c r="W983" s="187"/>
      <c r="X983" s="186"/>
      <c r="Y983" s="186"/>
      <c r="Z983" s="185"/>
      <c r="AA983" s="186"/>
      <c r="AB983" s="186"/>
      <c r="AC983" s="186"/>
      <c r="AD983" s="186"/>
      <c r="AE983" s="186"/>
      <c r="AF983" s="186"/>
      <c r="AG983" s="186"/>
      <c r="AH983" s="185"/>
      <c r="AJ983" s="186"/>
      <c r="AK983" s="186"/>
      <c r="AL983" s="186"/>
      <c r="AM983" s="187"/>
      <c r="AN983" s="186"/>
      <c r="AO983" s="186"/>
      <c r="AQ983" s="186"/>
      <c r="AR983" s="186"/>
      <c r="AS983" s="187"/>
      <c r="AU983" s="186"/>
      <c r="AV983" s="186"/>
      <c r="AW983" s="186"/>
      <c r="AX983" s="186"/>
      <c r="AY983" s="186"/>
      <c r="AZ983" s="186"/>
      <c r="BA983" s="186"/>
      <c r="BC983" s="186"/>
      <c r="BD983" s="186"/>
      <c r="BE983" s="187"/>
    </row>
    <row r="984" spans="6:57" x14ac:dyDescent="0.3">
      <c r="F984" s="185"/>
      <c r="H984" s="186"/>
      <c r="J984" s="186"/>
      <c r="K984" s="186"/>
      <c r="L984" s="186"/>
      <c r="M984" s="186"/>
      <c r="N984" s="186"/>
      <c r="O984" s="187"/>
      <c r="P984" s="186"/>
      <c r="Q984" s="186"/>
      <c r="R984" s="186"/>
      <c r="S984" s="186"/>
      <c r="T984" s="186"/>
      <c r="U984" s="186"/>
      <c r="V984" s="186"/>
      <c r="W984" s="187"/>
      <c r="X984" s="186"/>
      <c r="Y984" s="186"/>
      <c r="Z984" s="185"/>
      <c r="AA984" s="186"/>
      <c r="AB984" s="186"/>
      <c r="AC984" s="186"/>
      <c r="AD984" s="186"/>
      <c r="AE984" s="186"/>
      <c r="AF984" s="186"/>
      <c r="AG984" s="186"/>
      <c r="AH984" s="185"/>
      <c r="AJ984" s="186"/>
      <c r="AK984" s="186"/>
      <c r="AL984" s="186"/>
      <c r="AM984" s="187"/>
      <c r="AN984" s="186"/>
      <c r="AO984" s="186"/>
      <c r="AQ984" s="186"/>
      <c r="AR984" s="186"/>
      <c r="AS984" s="187"/>
      <c r="AU984" s="186"/>
      <c r="AV984" s="186"/>
      <c r="AW984" s="186"/>
      <c r="AX984" s="186"/>
      <c r="AY984" s="186"/>
      <c r="AZ984" s="186"/>
      <c r="BA984" s="186"/>
      <c r="BC984" s="186"/>
      <c r="BD984" s="186"/>
      <c r="BE984" s="187"/>
    </row>
    <row r="985" spans="6:57" x14ac:dyDescent="0.3">
      <c r="F985" s="185"/>
      <c r="H985" s="186"/>
      <c r="J985" s="186"/>
      <c r="K985" s="186"/>
      <c r="L985" s="186"/>
      <c r="M985" s="186"/>
      <c r="N985" s="186"/>
      <c r="O985" s="187"/>
      <c r="P985" s="186"/>
      <c r="Q985" s="186"/>
      <c r="R985" s="186"/>
      <c r="S985" s="186"/>
      <c r="T985" s="186"/>
      <c r="U985" s="186"/>
      <c r="V985" s="186"/>
      <c r="W985" s="187"/>
      <c r="X985" s="186"/>
      <c r="Y985" s="186"/>
      <c r="Z985" s="185"/>
      <c r="AA985" s="186"/>
      <c r="AB985" s="186"/>
      <c r="AC985" s="186"/>
      <c r="AD985" s="186"/>
      <c r="AE985" s="186"/>
      <c r="AF985" s="186"/>
      <c r="AG985" s="186"/>
      <c r="AH985" s="185"/>
      <c r="AJ985" s="186"/>
      <c r="AK985" s="186"/>
      <c r="AL985" s="186"/>
      <c r="AM985" s="187"/>
      <c r="AN985" s="186"/>
      <c r="AO985" s="186"/>
      <c r="AQ985" s="186"/>
      <c r="AR985" s="186"/>
      <c r="AS985" s="187"/>
      <c r="AU985" s="186"/>
      <c r="AV985" s="186"/>
      <c r="AW985" s="186"/>
      <c r="AX985" s="186"/>
      <c r="AY985" s="186"/>
      <c r="AZ985" s="186"/>
      <c r="BA985" s="186"/>
      <c r="BC985" s="186"/>
      <c r="BD985" s="186"/>
      <c r="BE985" s="187"/>
    </row>
    <row r="986" spans="6:57" x14ac:dyDescent="0.3">
      <c r="F986" s="185"/>
      <c r="H986" s="186"/>
      <c r="J986" s="186"/>
      <c r="K986" s="186"/>
      <c r="L986" s="186"/>
      <c r="M986" s="186"/>
      <c r="N986" s="186"/>
      <c r="O986" s="187"/>
      <c r="P986" s="186"/>
      <c r="Q986" s="186"/>
      <c r="R986" s="186"/>
      <c r="S986" s="186"/>
      <c r="T986" s="186"/>
      <c r="U986" s="186"/>
      <c r="V986" s="186"/>
      <c r="W986" s="187"/>
      <c r="X986" s="186"/>
      <c r="Y986" s="186"/>
      <c r="Z986" s="185"/>
      <c r="AA986" s="186"/>
      <c r="AB986" s="186"/>
      <c r="AC986" s="186"/>
      <c r="AD986" s="186"/>
      <c r="AE986" s="186"/>
      <c r="AF986" s="186"/>
      <c r="AG986" s="186"/>
      <c r="AH986" s="185"/>
      <c r="AJ986" s="186"/>
      <c r="AK986" s="186"/>
      <c r="AL986" s="186"/>
      <c r="AM986" s="187"/>
      <c r="AN986" s="186"/>
      <c r="AO986" s="186"/>
      <c r="AQ986" s="186"/>
      <c r="AR986" s="186"/>
      <c r="AS986" s="187"/>
      <c r="AU986" s="186"/>
      <c r="AV986" s="186"/>
      <c r="AW986" s="186"/>
      <c r="AX986" s="186"/>
      <c r="AY986" s="186"/>
      <c r="AZ986" s="186"/>
      <c r="BA986" s="186"/>
      <c r="BC986" s="186"/>
      <c r="BD986" s="186"/>
      <c r="BE986" s="187"/>
    </row>
    <row r="987" spans="6:57" x14ac:dyDescent="0.3">
      <c r="F987" s="185"/>
      <c r="H987" s="186"/>
      <c r="J987" s="186"/>
      <c r="K987" s="186"/>
      <c r="L987" s="186"/>
      <c r="M987" s="186"/>
      <c r="N987" s="186"/>
      <c r="O987" s="187"/>
      <c r="P987" s="186"/>
      <c r="Q987" s="186"/>
      <c r="R987" s="186"/>
      <c r="S987" s="186"/>
      <c r="T987" s="186"/>
      <c r="U987" s="186"/>
      <c r="V987" s="186"/>
      <c r="W987" s="187"/>
      <c r="X987" s="186"/>
      <c r="Y987" s="186"/>
      <c r="Z987" s="185"/>
      <c r="AA987" s="186"/>
      <c r="AB987" s="186"/>
      <c r="AC987" s="186"/>
      <c r="AD987" s="186"/>
      <c r="AE987" s="186"/>
      <c r="AF987" s="186"/>
      <c r="AG987" s="186"/>
      <c r="AH987" s="185"/>
      <c r="AJ987" s="186"/>
      <c r="AK987" s="186"/>
      <c r="AL987" s="186"/>
      <c r="AM987" s="187"/>
      <c r="AN987" s="186"/>
      <c r="AO987" s="186"/>
      <c r="AQ987" s="186"/>
      <c r="AR987" s="186"/>
      <c r="AS987" s="187"/>
      <c r="AU987" s="186"/>
      <c r="AV987" s="186"/>
      <c r="AW987" s="186"/>
      <c r="AX987" s="186"/>
      <c r="AY987" s="186"/>
      <c r="AZ987" s="186"/>
      <c r="BA987" s="186"/>
      <c r="BC987" s="186"/>
      <c r="BD987" s="186"/>
      <c r="BE987" s="187"/>
    </row>
    <row r="988" spans="6:57" x14ac:dyDescent="0.3">
      <c r="F988" s="185"/>
      <c r="H988" s="186"/>
      <c r="J988" s="186"/>
      <c r="K988" s="186"/>
      <c r="L988" s="186"/>
      <c r="M988" s="186"/>
      <c r="N988" s="186"/>
      <c r="O988" s="187"/>
      <c r="P988" s="186"/>
      <c r="Q988" s="186"/>
      <c r="R988" s="186"/>
      <c r="S988" s="186"/>
      <c r="T988" s="186"/>
      <c r="U988" s="186"/>
      <c r="V988" s="186"/>
      <c r="W988" s="187"/>
      <c r="X988" s="186"/>
      <c r="Y988" s="186"/>
      <c r="Z988" s="185"/>
      <c r="AA988" s="186"/>
      <c r="AB988" s="186"/>
      <c r="AC988" s="186"/>
      <c r="AD988" s="186"/>
      <c r="AE988" s="186"/>
      <c r="AF988" s="186"/>
      <c r="AG988" s="186"/>
      <c r="AH988" s="185"/>
      <c r="AJ988" s="186"/>
      <c r="AK988" s="186"/>
      <c r="AL988" s="186"/>
      <c r="AM988" s="187"/>
      <c r="AN988" s="186"/>
      <c r="AO988" s="186"/>
      <c r="AQ988" s="186"/>
      <c r="AR988" s="186"/>
      <c r="AS988" s="187"/>
      <c r="AU988" s="186"/>
      <c r="AV988" s="186"/>
      <c r="AW988" s="186"/>
      <c r="AX988" s="186"/>
      <c r="AY988" s="186"/>
      <c r="AZ988" s="186"/>
      <c r="BA988" s="186"/>
      <c r="BC988" s="186"/>
      <c r="BD988" s="186"/>
      <c r="BE988" s="187"/>
    </row>
    <row r="989" spans="6:57" x14ac:dyDescent="0.3">
      <c r="F989" s="185"/>
      <c r="H989" s="186"/>
      <c r="J989" s="186"/>
      <c r="K989" s="186"/>
      <c r="L989" s="186"/>
      <c r="M989" s="186"/>
      <c r="N989" s="186"/>
      <c r="O989" s="187"/>
      <c r="P989" s="186"/>
      <c r="Q989" s="186"/>
      <c r="R989" s="186"/>
      <c r="S989" s="186"/>
      <c r="T989" s="186"/>
      <c r="U989" s="186"/>
      <c r="V989" s="186"/>
      <c r="W989" s="187"/>
      <c r="X989" s="186"/>
      <c r="Y989" s="186"/>
      <c r="Z989" s="185"/>
      <c r="AA989" s="186"/>
      <c r="AB989" s="186"/>
      <c r="AC989" s="186"/>
      <c r="AD989" s="186"/>
      <c r="AE989" s="186"/>
      <c r="AF989" s="186"/>
      <c r="AG989" s="186"/>
      <c r="AH989" s="185"/>
      <c r="AJ989" s="186"/>
      <c r="AK989" s="186"/>
      <c r="AL989" s="186"/>
      <c r="AM989" s="187"/>
      <c r="AN989" s="186"/>
      <c r="AO989" s="186"/>
      <c r="AQ989" s="186"/>
      <c r="AR989" s="186"/>
      <c r="AS989" s="187"/>
      <c r="AU989" s="186"/>
      <c r="AV989" s="186"/>
      <c r="AW989" s="186"/>
      <c r="AX989" s="186"/>
      <c r="AY989" s="186"/>
      <c r="AZ989" s="186"/>
      <c r="BA989" s="186"/>
      <c r="BC989" s="186"/>
      <c r="BD989" s="186"/>
      <c r="BE989" s="187"/>
    </row>
    <row r="990" spans="6:57" x14ac:dyDescent="0.3">
      <c r="F990" s="185"/>
      <c r="H990" s="186"/>
      <c r="J990" s="186"/>
      <c r="K990" s="186"/>
      <c r="L990" s="186"/>
      <c r="M990" s="186"/>
      <c r="N990" s="186"/>
      <c r="O990" s="187"/>
      <c r="P990" s="186"/>
      <c r="Q990" s="186"/>
      <c r="R990" s="186"/>
      <c r="S990" s="186"/>
      <c r="T990" s="186"/>
      <c r="U990" s="186"/>
      <c r="V990" s="186"/>
      <c r="W990" s="187"/>
      <c r="X990" s="186"/>
      <c r="Y990" s="186"/>
      <c r="Z990" s="185"/>
      <c r="AA990" s="186"/>
      <c r="AB990" s="186"/>
      <c r="AC990" s="186"/>
      <c r="AD990" s="186"/>
      <c r="AE990" s="186"/>
      <c r="AF990" s="186"/>
      <c r="AG990" s="186"/>
      <c r="AH990" s="185"/>
      <c r="AJ990" s="186"/>
      <c r="AK990" s="186"/>
      <c r="AL990" s="186"/>
      <c r="AM990" s="187"/>
      <c r="AN990" s="186"/>
      <c r="AO990" s="186"/>
      <c r="AQ990" s="186"/>
      <c r="AR990" s="186"/>
      <c r="AS990" s="187"/>
      <c r="AU990" s="186"/>
      <c r="AV990" s="186"/>
      <c r="AW990" s="186"/>
      <c r="AX990" s="186"/>
      <c r="AY990" s="186"/>
      <c r="AZ990" s="186"/>
      <c r="BA990" s="186"/>
      <c r="BC990" s="186"/>
      <c r="BD990" s="186"/>
      <c r="BE990" s="187"/>
    </row>
    <row r="991" spans="6:57" x14ac:dyDescent="0.3">
      <c r="F991" s="185"/>
      <c r="H991" s="186"/>
      <c r="J991" s="186"/>
      <c r="K991" s="186"/>
      <c r="L991" s="186"/>
      <c r="M991" s="186"/>
      <c r="N991" s="186"/>
      <c r="O991" s="187"/>
      <c r="P991" s="186"/>
      <c r="Q991" s="186"/>
      <c r="R991" s="186"/>
      <c r="S991" s="186"/>
      <c r="T991" s="186"/>
      <c r="U991" s="186"/>
      <c r="V991" s="186"/>
      <c r="W991" s="187"/>
      <c r="X991" s="186"/>
      <c r="Y991" s="186"/>
      <c r="Z991" s="185"/>
      <c r="AA991" s="186"/>
      <c r="AB991" s="186"/>
      <c r="AC991" s="186"/>
      <c r="AD991" s="186"/>
      <c r="AE991" s="186"/>
      <c r="AF991" s="186"/>
      <c r="AG991" s="186"/>
      <c r="AH991" s="185"/>
      <c r="AJ991" s="186"/>
      <c r="AK991" s="186"/>
      <c r="AL991" s="186"/>
      <c r="AM991" s="187"/>
      <c r="AN991" s="186"/>
      <c r="AO991" s="186"/>
      <c r="AQ991" s="186"/>
      <c r="AR991" s="186"/>
      <c r="AS991" s="187"/>
      <c r="AU991" s="186"/>
      <c r="AV991" s="186"/>
      <c r="AW991" s="186"/>
      <c r="AX991" s="186"/>
      <c r="AY991" s="186"/>
      <c r="AZ991" s="186"/>
      <c r="BA991" s="186"/>
      <c r="BC991" s="186"/>
      <c r="BD991" s="186"/>
      <c r="BE991" s="187"/>
    </row>
    <row r="992" spans="6:57" x14ac:dyDescent="0.3">
      <c r="F992" s="185"/>
      <c r="H992" s="186"/>
      <c r="J992" s="186"/>
      <c r="K992" s="186"/>
      <c r="L992" s="186"/>
      <c r="M992" s="186"/>
      <c r="N992" s="186"/>
      <c r="O992" s="187"/>
      <c r="P992" s="186"/>
      <c r="Q992" s="186"/>
      <c r="R992" s="186"/>
      <c r="S992" s="186"/>
      <c r="T992" s="186"/>
      <c r="U992" s="186"/>
      <c r="V992" s="186"/>
      <c r="W992" s="187"/>
      <c r="X992" s="186"/>
      <c r="Y992" s="186"/>
      <c r="Z992" s="185"/>
      <c r="AA992" s="186"/>
      <c r="AB992" s="186"/>
      <c r="AC992" s="186"/>
      <c r="AD992" s="186"/>
      <c r="AE992" s="186"/>
      <c r="AF992" s="186"/>
      <c r="AG992" s="186"/>
      <c r="AH992" s="185"/>
      <c r="AJ992" s="186"/>
      <c r="AK992" s="186"/>
      <c r="AL992" s="186"/>
      <c r="AM992" s="187"/>
      <c r="AN992" s="186"/>
      <c r="AO992" s="186"/>
      <c r="AQ992" s="186"/>
      <c r="AR992" s="186"/>
      <c r="AS992" s="187"/>
      <c r="AU992" s="186"/>
      <c r="AV992" s="186"/>
      <c r="AW992" s="186"/>
      <c r="AX992" s="186"/>
      <c r="AY992" s="186"/>
      <c r="AZ992" s="186"/>
      <c r="BA992" s="186"/>
      <c r="BC992" s="186"/>
      <c r="BD992" s="186"/>
      <c r="BE992" s="187"/>
    </row>
    <row r="993" spans="6:57" x14ac:dyDescent="0.3">
      <c r="F993" s="185"/>
      <c r="H993" s="186"/>
      <c r="J993" s="186"/>
      <c r="K993" s="186"/>
      <c r="L993" s="186"/>
      <c r="M993" s="186"/>
      <c r="N993" s="186"/>
      <c r="O993" s="187"/>
      <c r="P993" s="186"/>
      <c r="Q993" s="186"/>
      <c r="R993" s="186"/>
      <c r="S993" s="186"/>
      <c r="T993" s="186"/>
      <c r="U993" s="186"/>
      <c r="V993" s="186"/>
      <c r="W993" s="187"/>
      <c r="X993" s="186"/>
      <c r="Y993" s="186"/>
      <c r="Z993" s="185"/>
      <c r="AA993" s="186"/>
      <c r="AB993" s="186"/>
      <c r="AC993" s="186"/>
      <c r="AD993" s="186"/>
      <c r="AE993" s="186"/>
      <c r="AF993" s="186"/>
      <c r="AG993" s="186"/>
      <c r="AH993" s="185"/>
      <c r="AJ993" s="186"/>
      <c r="AK993" s="186"/>
      <c r="AL993" s="186"/>
      <c r="AM993" s="187"/>
      <c r="AN993" s="186"/>
      <c r="AO993" s="186"/>
      <c r="AQ993" s="186"/>
      <c r="AR993" s="186"/>
      <c r="AS993" s="187"/>
      <c r="AU993" s="186"/>
      <c r="AV993" s="186"/>
      <c r="AW993" s="186"/>
      <c r="AX993" s="186"/>
      <c r="AY993" s="186"/>
      <c r="AZ993" s="186"/>
      <c r="BA993" s="186"/>
      <c r="BC993" s="186"/>
      <c r="BD993" s="186"/>
      <c r="BE993" s="187"/>
    </row>
    <row r="994" spans="6:57" x14ac:dyDescent="0.3">
      <c r="F994" s="185"/>
      <c r="H994" s="186"/>
      <c r="J994" s="186"/>
      <c r="K994" s="186"/>
      <c r="L994" s="186"/>
      <c r="M994" s="186"/>
      <c r="N994" s="186"/>
      <c r="O994" s="187"/>
      <c r="P994" s="186"/>
      <c r="Q994" s="186"/>
      <c r="R994" s="186"/>
      <c r="S994" s="186"/>
      <c r="T994" s="186"/>
      <c r="U994" s="186"/>
      <c r="V994" s="186"/>
      <c r="W994" s="187"/>
      <c r="X994" s="186"/>
      <c r="Y994" s="186"/>
      <c r="Z994" s="185"/>
      <c r="AA994" s="186"/>
      <c r="AB994" s="186"/>
      <c r="AC994" s="186"/>
      <c r="AD994" s="186"/>
      <c r="AE994" s="186"/>
      <c r="AF994" s="186"/>
      <c r="AG994" s="186"/>
      <c r="AH994" s="185"/>
      <c r="AJ994" s="186"/>
      <c r="AK994" s="186"/>
      <c r="AL994" s="186"/>
      <c r="AM994" s="187"/>
      <c r="AN994" s="186"/>
      <c r="AO994" s="186"/>
      <c r="AQ994" s="186"/>
      <c r="AR994" s="186"/>
      <c r="AS994" s="187"/>
      <c r="AU994" s="186"/>
      <c r="AV994" s="186"/>
      <c r="AW994" s="186"/>
      <c r="AX994" s="186"/>
      <c r="AY994" s="186"/>
      <c r="AZ994" s="186"/>
      <c r="BA994" s="186"/>
      <c r="BC994" s="186"/>
      <c r="BD994" s="186"/>
      <c r="BE994" s="187"/>
    </row>
    <row r="995" spans="6:57" x14ac:dyDescent="0.3">
      <c r="F995" s="185"/>
      <c r="H995" s="186"/>
      <c r="J995" s="186"/>
      <c r="K995" s="186"/>
      <c r="L995" s="186"/>
      <c r="M995" s="186"/>
      <c r="N995" s="186"/>
      <c r="O995" s="187"/>
      <c r="P995" s="186"/>
      <c r="Q995" s="186"/>
      <c r="R995" s="186"/>
      <c r="S995" s="186"/>
      <c r="T995" s="186"/>
      <c r="U995" s="186"/>
      <c r="V995" s="186"/>
      <c r="W995" s="187"/>
      <c r="X995" s="186"/>
      <c r="Y995" s="186"/>
      <c r="Z995" s="185"/>
      <c r="AA995" s="186"/>
      <c r="AB995" s="186"/>
      <c r="AC995" s="186"/>
      <c r="AD995" s="186"/>
      <c r="AE995" s="186"/>
      <c r="AF995" s="186"/>
      <c r="AG995" s="186"/>
      <c r="AH995" s="185"/>
      <c r="AJ995" s="186"/>
      <c r="AK995" s="186"/>
      <c r="AL995" s="186"/>
      <c r="AM995" s="187"/>
      <c r="AN995" s="186"/>
      <c r="AO995" s="186"/>
      <c r="AQ995" s="186"/>
      <c r="AR995" s="186"/>
      <c r="AS995" s="187"/>
      <c r="AU995" s="186"/>
      <c r="AV995" s="186"/>
      <c r="AW995" s="186"/>
      <c r="AX995" s="186"/>
      <c r="AY995" s="186"/>
      <c r="AZ995" s="186"/>
      <c r="BA995" s="186"/>
      <c r="BC995" s="186"/>
      <c r="BD995" s="186"/>
      <c r="BE995" s="187"/>
    </row>
    <row r="996" spans="6:57" x14ac:dyDescent="0.3">
      <c r="F996" s="185"/>
      <c r="H996" s="186"/>
      <c r="J996" s="186"/>
      <c r="K996" s="186"/>
      <c r="L996" s="186"/>
      <c r="M996" s="186"/>
      <c r="N996" s="186"/>
      <c r="O996" s="187"/>
      <c r="P996" s="186"/>
      <c r="Q996" s="186"/>
      <c r="R996" s="186"/>
      <c r="S996" s="186"/>
      <c r="T996" s="186"/>
      <c r="U996" s="186"/>
      <c r="V996" s="186"/>
      <c r="W996" s="187"/>
      <c r="X996" s="186"/>
      <c r="Y996" s="186"/>
      <c r="Z996" s="185"/>
      <c r="AA996" s="186"/>
      <c r="AB996" s="186"/>
      <c r="AC996" s="186"/>
      <c r="AD996" s="186"/>
      <c r="AE996" s="186"/>
      <c r="AF996" s="186"/>
      <c r="AG996" s="186"/>
      <c r="AH996" s="185"/>
      <c r="AJ996" s="186"/>
      <c r="AK996" s="186"/>
      <c r="AL996" s="186"/>
      <c r="AM996" s="187"/>
      <c r="AN996" s="186"/>
      <c r="AO996" s="186"/>
      <c r="AQ996" s="186"/>
      <c r="AR996" s="186"/>
      <c r="AS996" s="187"/>
      <c r="AU996" s="186"/>
      <c r="AV996" s="186"/>
      <c r="AW996" s="186"/>
      <c r="AX996" s="186"/>
      <c r="AY996" s="186"/>
      <c r="AZ996" s="186"/>
      <c r="BA996" s="186"/>
      <c r="BC996" s="186"/>
      <c r="BD996" s="186"/>
      <c r="BE996" s="187"/>
    </row>
    <row r="997" spans="6:57" x14ac:dyDescent="0.3">
      <c r="F997" s="185"/>
      <c r="H997" s="186"/>
      <c r="J997" s="186"/>
      <c r="K997" s="186"/>
      <c r="L997" s="186"/>
      <c r="M997" s="186"/>
      <c r="N997" s="186"/>
      <c r="O997" s="187"/>
      <c r="P997" s="186"/>
      <c r="Q997" s="186"/>
      <c r="R997" s="186"/>
      <c r="S997" s="186"/>
      <c r="T997" s="186"/>
      <c r="U997" s="186"/>
      <c r="V997" s="186"/>
      <c r="W997" s="187"/>
      <c r="X997" s="186"/>
      <c r="Y997" s="186"/>
      <c r="Z997" s="185"/>
      <c r="AA997" s="186"/>
      <c r="AB997" s="186"/>
      <c r="AC997" s="186"/>
      <c r="AD997" s="186"/>
      <c r="AE997" s="186"/>
      <c r="AF997" s="186"/>
      <c r="AG997" s="186"/>
      <c r="AH997" s="185"/>
      <c r="AJ997" s="186"/>
      <c r="AK997" s="186"/>
      <c r="AL997" s="186"/>
      <c r="AM997" s="187"/>
      <c r="AN997" s="186"/>
      <c r="AO997" s="186"/>
      <c r="AQ997" s="186"/>
      <c r="AR997" s="186"/>
      <c r="AS997" s="187"/>
      <c r="AU997" s="186"/>
      <c r="AV997" s="186"/>
      <c r="AW997" s="186"/>
      <c r="AX997" s="186"/>
      <c r="AY997" s="186"/>
      <c r="AZ997" s="186"/>
      <c r="BA997" s="186"/>
      <c r="BC997" s="186"/>
      <c r="BD997" s="186"/>
      <c r="BE997" s="187"/>
    </row>
    <row r="998" spans="6:57" x14ac:dyDescent="0.3">
      <c r="F998" s="185"/>
      <c r="H998" s="186"/>
      <c r="J998" s="186"/>
      <c r="K998" s="186"/>
      <c r="L998" s="186"/>
      <c r="M998" s="186"/>
      <c r="N998" s="186"/>
      <c r="O998" s="187"/>
      <c r="P998" s="186"/>
      <c r="Q998" s="186"/>
      <c r="R998" s="186"/>
      <c r="S998" s="186"/>
      <c r="T998" s="186"/>
      <c r="U998" s="186"/>
      <c r="V998" s="186"/>
      <c r="W998" s="187"/>
      <c r="X998" s="186"/>
      <c r="Y998" s="186"/>
      <c r="Z998" s="185"/>
      <c r="AA998" s="186"/>
      <c r="AB998" s="186"/>
      <c r="AC998" s="186"/>
      <c r="AD998" s="186"/>
      <c r="AE998" s="186"/>
      <c r="AF998" s="186"/>
      <c r="AG998" s="186"/>
      <c r="AH998" s="185"/>
      <c r="AJ998" s="186"/>
      <c r="AK998" s="186"/>
      <c r="AL998" s="186"/>
      <c r="AM998" s="187"/>
      <c r="AN998" s="186"/>
      <c r="AO998" s="186"/>
      <c r="AQ998" s="186"/>
      <c r="AR998" s="186"/>
      <c r="AS998" s="187"/>
      <c r="AU998" s="186"/>
      <c r="AV998" s="186"/>
      <c r="AW998" s="186"/>
      <c r="AX998" s="186"/>
      <c r="AY998" s="186"/>
      <c r="AZ998" s="186"/>
      <c r="BA998" s="186"/>
      <c r="BC998" s="186"/>
      <c r="BD998" s="186"/>
      <c r="BE998" s="187"/>
    </row>
    <row r="999" spans="6:57" x14ac:dyDescent="0.3">
      <c r="F999" s="185"/>
      <c r="H999" s="186"/>
      <c r="J999" s="186"/>
      <c r="K999" s="186"/>
      <c r="L999" s="186"/>
      <c r="M999" s="186"/>
      <c r="N999" s="186"/>
      <c r="O999" s="187"/>
      <c r="P999" s="186"/>
      <c r="Q999" s="186"/>
      <c r="R999" s="186"/>
      <c r="S999" s="186"/>
      <c r="T999" s="186"/>
      <c r="U999" s="186"/>
      <c r="V999" s="186"/>
      <c r="W999" s="187"/>
      <c r="X999" s="186"/>
      <c r="Y999" s="186"/>
      <c r="Z999" s="185"/>
      <c r="AA999" s="186"/>
      <c r="AB999" s="186"/>
      <c r="AC999" s="186"/>
      <c r="AD999" s="186"/>
      <c r="AE999" s="186"/>
      <c r="AF999" s="186"/>
      <c r="AG999" s="186"/>
      <c r="AH999" s="185"/>
      <c r="AJ999" s="186"/>
      <c r="AK999" s="186"/>
      <c r="AL999" s="186"/>
      <c r="AM999" s="187"/>
      <c r="AN999" s="186"/>
      <c r="AO999" s="186"/>
      <c r="AQ999" s="186"/>
      <c r="AR999" s="186"/>
      <c r="AS999" s="187"/>
      <c r="AU999" s="186"/>
      <c r="AV999" s="186"/>
      <c r="AW999" s="186"/>
      <c r="AX999" s="186"/>
      <c r="AY999" s="186"/>
      <c r="AZ999" s="186"/>
      <c r="BA999" s="186"/>
      <c r="BC999" s="186"/>
      <c r="BD999" s="186"/>
      <c r="BE999" s="187"/>
    </row>
    <row r="1000" spans="6:57" x14ac:dyDescent="0.3">
      <c r="F1000" s="185"/>
      <c r="H1000" s="186"/>
      <c r="J1000" s="186"/>
      <c r="K1000" s="186"/>
      <c r="L1000" s="186"/>
      <c r="M1000" s="186"/>
      <c r="N1000" s="186"/>
      <c r="O1000" s="187"/>
      <c r="P1000" s="186"/>
      <c r="Q1000" s="186"/>
      <c r="R1000" s="186"/>
      <c r="S1000" s="186"/>
      <c r="T1000" s="186"/>
      <c r="U1000" s="186"/>
      <c r="V1000" s="186"/>
      <c r="W1000" s="187"/>
      <c r="X1000" s="186"/>
      <c r="Y1000" s="186"/>
      <c r="Z1000" s="185"/>
      <c r="AA1000" s="186"/>
      <c r="AB1000" s="186"/>
      <c r="AC1000" s="186"/>
      <c r="AD1000" s="186"/>
      <c r="AE1000" s="186"/>
      <c r="AF1000" s="186"/>
      <c r="AG1000" s="186"/>
      <c r="AH1000" s="185"/>
      <c r="AJ1000" s="186"/>
      <c r="AK1000" s="186"/>
      <c r="AL1000" s="186"/>
      <c r="AM1000" s="187"/>
      <c r="AN1000" s="186"/>
      <c r="AO1000" s="186"/>
      <c r="AQ1000" s="186"/>
      <c r="AR1000" s="186"/>
      <c r="AS1000" s="187"/>
      <c r="AU1000" s="186"/>
      <c r="AV1000" s="186"/>
      <c r="AW1000" s="186"/>
      <c r="AX1000" s="186"/>
      <c r="AY1000" s="186"/>
      <c r="AZ1000" s="186"/>
      <c r="BA1000" s="186"/>
      <c r="BC1000" s="186"/>
      <c r="BD1000" s="186"/>
      <c r="BE1000" s="187"/>
    </row>
  </sheetData>
  <sheetProtection formatCells="0" formatColumns="0" formatRows="0" insertColumns="0" insertRows="0" insertHyperlinks="0" deleteColumns="0" deleteRows="0" sort="0" autoFilter="0" pivotTables="0"/>
  <autoFilter ref="A8:BF8" xr:uid="{00000000-0001-0000-0100-000000000000}">
    <filterColumn colId="32" showButton="0"/>
    <filterColumn colId="36" showButton="0"/>
  </autoFilter>
  <mergeCells count="12">
    <mergeCell ref="B1:BD2"/>
    <mergeCell ref="AK8:AL8"/>
    <mergeCell ref="L4:N6"/>
    <mergeCell ref="J4:J6"/>
    <mergeCell ref="H4:H6"/>
    <mergeCell ref="B4:E6"/>
    <mergeCell ref="AE4:BD4"/>
    <mergeCell ref="AE6:AS6"/>
    <mergeCell ref="AU6:BD6"/>
    <mergeCell ref="X4:AC6"/>
    <mergeCell ref="P4:V6"/>
    <mergeCell ref="AG8:AH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1000"/>
  <sheetViews>
    <sheetView topLeftCell="A2" zoomScaleNormal="100" workbookViewId="0">
      <selection activeCell="I24" sqref="I24"/>
    </sheetView>
  </sheetViews>
  <sheetFormatPr defaultColWidth="0" defaultRowHeight="14.4" x14ac:dyDescent="0.3"/>
  <cols>
    <col min="1" max="1" width="1.6640625" customWidth="1"/>
    <col min="2" max="2" width="3.88671875" customWidth="1"/>
    <col min="3" max="3" width="47.33203125" customWidth="1"/>
    <col min="4" max="4" width="9.33203125" customWidth="1"/>
    <col min="5" max="6" width="1.6640625" customWidth="1"/>
    <col min="7" max="7" width="21.5546875" customWidth="1"/>
    <col min="8" max="8" width="17.6640625" customWidth="1"/>
    <col min="9" max="9" width="18.33203125" customWidth="1"/>
    <col min="10" max="10" width="18.5546875" customWidth="1"/>
    <col min="11" max="11" width="19" customWidth="1"/>
    <col min="12" max="12" width="1.6640625" customWidth="1"/>
    <col min="13" max="13" width="24.33203125" customWidth="1"/>
    <col min="14" max="14" width="1.6640625" customWidth="1"/>
    <col min="15" max="15" width="14.33203125" customWidth="1"/>
    <col min="16" max="16" width="1.6640625" customWidth="1"/>
    <col min="17" max="17" width="8.88671875" customWidth="1"/>
    <col min="18" max="18" width="1.6640625" customWidth="1"/>
    <col min="19" max="19" width="8.88671875" hidden="1" customWidth="1"/>
  </cols>
  <sheetData>
    <row r="1" spans="2:18" x14ac:dyDescent="0.3">
      <c r="B1" s="280" t="s">
        <v>855</v>
      </c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90"/>
      <c r="Q1" s="90"/>
    </row>
    <row r="2" spans="2:18" x14ac:dyDescent="0.3"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90"/>
      <c r="Q2" s="90"/>
    </row>
    <row r="3" spans="2:18" x14ac:dyDescent="0.3">
      <c r="C3" s="199" t="str">
        <f>'MATRIZ COMPLETO PROPOSTA'!C3</f>
        <v>v.20220629.1252</v>
      </c>
    </row>
    <row r="4" spans="2:18" ht="14.4" customHeight="1" x14ac:dyDescent="0.3">
      <c r="B4" s="282" t="s">
        <v>102</v>
      </c>
      <c r="C4" s="282"/>
      <c r="D4" s="282"/>
      <c r="G4" s="90"/>
      <c r="H4" s="90"/>
      <c r="I4" s="90"/>
      <c r="J4" s="90"/>
      <c r="K4" s="90"/>
      <c r="M4" s="90"/>
      <c r="O4" s="90"/>
      <c r="Q4" s="90"/>
    </row>
    <row r="5" spans="2:18" ht="14.4" customHeight="1" x14ac:dyDescent="0.3">
      <c r="B5" s="282"/>
      <c r="C5" s="282"/>
      <c r="D5" s="282"/>
      <c r="E5" s="203"/>
      <c r="G5" s="90"/>
      <c r="H5" s="90"/>
      <c r="I5" s="90"/>
      <c r="J5" s="90"/>
      <c r="K5" s="90"/>
      <c r="M5" s="90"/>
      <c r="O5" s="90"/>
      <c r="Q5" s="90"/>
    </row>
    <row r="6" spans="2:18" ht="14.4" customHeight="1" x14ac:dyDescent="0.3">
      <c r="B6" s="282"/>
      <c r="C6" s="282"/>
      <c r="D6" s="282"/>
      <c r="E6" s="203"/>
      <c r="F6" s="203"/>
      <c r="G6" s="90"/>
      <c r="H6" s="90"/>
      <c r="I6" s="90"/>
      <c r="J6" s="90"/>
      <c r="K6" s="90"/>
      <c r="M6" s="90"/>
      <c r="O6" s="90"/>
      <c r="Q6" s="90"/>
    </row>
    <row r="8" spans="2:18" s="197" customFormat="1" ht="61.2" customHeight="1" x14ac:dyDescent="0.3">
      <c r="B8" s="196" t="s">
        <v>110</v>
      </c>
      <c r="C8" s="196" t="s">
        <v>111</v>
      </c>
      <c r="D8" s="196" t="s">
        <v>112</v>
      </c>
      <c r="G8" s="196" t="s">
        <v>856</v>
      </c>
      <c r="H8" s="196" t="s">
        <v>857</v>
      </c>
      <c r="I8" s="196" t="s">
        <v>858</v>
      </c>
      <c r="J8" s="196" t="s">
        <v>859</v>
      </c>
      <c r="K8" s="196" t="s">
        <v>860</v>
      </c>
      <c r="M8" s="196" t="s">
        <v>861</v>
      </c>
      <c r="O8" s="196" t="s">
        <v>862</v>
      </c>
      <c r="Q8" s="196"/>
    </row>
    <row r="10" spans="2:18" x14ac:dyDescent="0.3"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Q10" s="90"/>
      <c r="R10" s="200">
        <f ca="1">K110</f>
        <v>635163.78120095714</v>
      </c>
    </row>
    <row r="11" spans="2:18" x14ac:dyDescent="0.3">
      <c r="B11" s="90"/>
      <c r="C11" s="90" t="s">
        <v>147</v>
      </c>
      <c r="D11" s="90"/>
      <c r="E11" s="90"/>
      <c r="F11" s="90"/>
      <c r="G11" s="201">
        <f ca="1">SUMIFS(G15:G997,$D$15:$D$997,"T")</f>
        <v>1503759355.2423413</v>
      </c>
      <c r="H11" s="201">
        <f>SUMIFS(H15:H997,$D$15:$D$997,"T")</f>
        <v>41523216.533000007</v>
      </c>
      <c r="I11" s="201">
        <f>SUMIFS(I15:I997,$D$15:$D$997,"T")</f>
        <v>41523216.532999985</v>
      </c>
      <c r="J11" s="201">
        <f>SUMIFS(J15:J997,$D$15:$D$997,"T")</f>
        <v>83046433.065999985</v>
      </c>
      <c r="K11" s="201">
        <f ca="1">SUMIFS(K15:K997,$D$15:$D$997,"T")</f>
        <v>1669852221.374341</v>
      </c>
      <c r="L11" s="201"/>
      <c r="M11" s="202">
        <f>SUMIFS(M15:M997,$D$15:$D$997,"T")</f>
        <v>460147674</v>
      </c>
      <c r="N11" s="201"/>
      <c r="O11" s="202">
        <f ca="1">SUMIFS(O15:O997,$D$15:$D$997,"T")</f>
        <v>2504778.332061511</v>
      </c>
      <c r="Q11" s="90"/>
    </row>
    <row r="12" spans="2:18" x14ac:dyDescent="0.3"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Q12" s="90"/>
    </row>
    <row r="14" spans="2:18" x14ac:dyDescent="0.3">
      <c r="G14" s="200"/>
      <c r="H14" s="200"/>
      <c r="I14" s="200"/>
      <c r="J14" s="200"/>
      <c r="K14" s="200"/>
      <c r="M14" s="200"/>
      <c r="O14" s="200"/>
      <c r="Q14" s="240"/>
    </row>
    <row r="15" spans="2:18" x14ac:dyDescent="0.3">
      <c r="B15" s="231" t="s">
        <v>152</v>
      </c>
      <c r="C15" s="231" t="s">
        <v>153</v>
      </c>
      <c r="D15" s="232" t="s">
        <v>154</v>
      </c>
      <c r="E15" s="232"/>
      <c r="F15" s="232"/>
      <c r="G15" s="238">
        <f ca="1">SUM(G16:G22)</f>
        <v>11454724.549868297</v>
      </c>
      <c r="H15" s="238">
        <f>'MATRIZ COMPLETO PROPOSTA'!Y15</f>
        <v>297898.391270764</v>
      </c>
      <c r="I15" s="238">
        <f>'MATRIZ COMPLETO PROPOSTA'!AA15</f>
        <v>475224.15849848685</v>
      </c>
      <c r="J15" s="238">
        <f>'MATRIZ COMPLETO PROPOSTA'!AC15</f>
        <v>2061219.9556414662</v>
      </c>
      <c r="K15" s="238">
        <f ca="1">SUM(G15:J15)</f>
        <v>14289067.055279013</v>
      </c>
      <c r="L15" s="232"/>
      <c r="M15" s="238">
        <f>SUM(M16:M22)</f>
        <v>3462805.4791426803</v>
      </c>
      <c r="N15" s="232"/>
      <c r="O15" s="238">
        <f ca="1">K15*'DADOS BASE'!$I$22</f>
        <v>21433.60058291852</v>
      </c>
      <c r="P15" s="232"/>
      <c r="Q15" s="241">
        <f ca="1">SUM(H15:J15)/K15</f>
        <v>0.19835742210780552</v>
      </c>
    </row>
    <row r="16" spans="2:18" x14ac:dyDescent="0.3">
      <c r="B16" s="233" t="s">
        <v>152</v>
      </c>
      <c r="C16" s="234" t="s">
        <v>156</v>
      </c>
      <c r="D16" s="234" t="s">
        <v>157</v>
      </c>
      <c r="E16" s="234"/>
      <c r="F16" s="234"/>
      <c r="G16" s="239">
        <f>('MATRIZ COMPLETO PROPOSTA'!L15+
  'MATRIZ COMPLETO PROPOSTA'!P15*0.25+
  'MATRIZ COMPLETO PROPOSTA'!S15*0.8)
 /
 ('MATRIZ COMPLETO PROPOSTA'!L11+
  'MATRIZ COMPLETO PROPOSTA'!P11*0.25+
  'MATRIZ COMPLETO PROPOSTA'!S11*0.8)
 *
 'DADOS BASE'!$J$93</f>
        <v>1272747.1722075883</v>
      </c>
      <c r="H16" s="239"/>
      <c r="I16" s="239"/>
      <c r="J16" s="239"/>
      <c r="K16" s="239">
        <f t="shared" ref="K16:K22" si="0">J16+I16+H16+G16</f>
        <v>1272747.1722075883</v>
      </c>
      <c r="L16" s="234"/>
      <c r="M16" s="239">
        <f>'MATRIZ COMPLETO PROPOSTA'!BD16+
 'MATRIZ COMPLETO PROPOSTA'!BA16+
 'MATRIZ COMPLETO PROPOSTA'!AX16+
 'MATRIZ COMPLETO PROPOSTA'!AS16+
 'MATRIZ COMPLETO PROPOSTA'!AM16</f>
        <v>0</v>
      </c>
      <c r="N16" s="234"/>
      <c r="O16" s="239"/>
      <c r="P16" s="234"/>
      <c r="Q16" s="242"/>
    </row>
    <row r="17" spans="2:17" x14ac:dyDescent="0.3">
      <c r="B17" s="230" t="s">
        <v>152</v>
      </c>
      <c r="C17" s="230" t="s">
        <v>158</v>
      </c>
      <c r="D17" s="230" t="s">
        <v>94</v>
      </c>
      <c r="G17" s="200">
        <f ca="1">'MATRIZ COMPLETO PROPOSTA'!H17</f>
        <v>795610.0873631906</v>
      </c>
      <c r="H17" s="200"/>
      <c r="I17" s="200"/>
      <c r="J17" s="200"/>
      <c r="K17" s="200">
        <f t="shared" ca="1" si="0"/>
        <v>795610.0873631906</v>
      </c>
      <c r="M17" s="200">
        <f>'MATRIZ COMPLETO PROPOSTA'!BD17+
 'MATRIZ COMPLETO PROPOSTA'!BA17+
 'MATRIZ COMPLETO PROPOSTA'!AX17+
 'MATRIZ COMPLETO PROPOSTA'!AS17+
 'MATRIZ COMPLETO PROPOSTA'!AM17</f>
        <v>172903.59091548185</v>
      </c>
      <c r="O17" s="200"/>
      <c r="Q17" s="240"/>
    </row>
    <row r="18" spans="2:17" x14ac:dyDescent="0.3">
      <c r="B18" s="235" t="s">
        <v>152</v>
      </c>
      <c r="C18" s="235" t="s">
        <v>159</v>
      </c>
      <c r="D18" s="235" t="s">
        <v>92</v>
      </c>
      <c r="E18" s="236"/>
      <c r="F18" s="236"/>
      <c r="G18" s="237">
        <f ca="1">'MATRIZ COMPLETO PROPOSTA'!H18</f>
        <v>2371315.8855935214</v>
      </c>
      <c r="H18" s="237"/>
      <c r="I18" s="237"/>
      <c r="J18" s="237"/>
      <c r="K18" s="237">
        <f t="shared" ca="1" si="0"/>
        <v>2371315.8855935214</v>
      </c>
      <c r="L18" s="236"/>
      <c r="M18" s="237">
        <f>'MATRIZ COMPLETO PROPOSTA'!BD18+
 'MATRIZ COMPLETO PROPOSTA'!BA18+
 'MATRIZ COMPLETO PROPOSTA'!AX18+
 'MATRIZ COMPLETO PROPOSTA'!AS18+
 'MATRIZ COMPLETO PROPOSTA'!AM18</f>
        <v>815327.50665192306</v>
      </c>
      <c r="N18" s="236"/>
      <c r="O18" s="237"/>
      <c r="P18" s="236"/>
      <c r="Q18" s="243"/>
    </row>
    <row r="19" spans="2:17" x14ac:dyDescent="0.3">
      <c r="B19" s="230" t="s">
        <v>152</v>
      </c>
      <c r="C19" s="230" t="s">
        <v>160</v>
      </c>
      <c r="D19" s="230" t="s">
        <v>94</v>
      </c>
      <c r="G19" s="200">
        <f ca="1">'MATRIZ COMPLETO PROPOSTA'!H19</f>
        <v>2968760.3558039898</v>
      </c>
      <c r="H19" s="200"/>
      <c r="I19" s="200"/>
      <c r="J19" s="200"/>
      <c r="K19" s="200">
        <f t="shared" ca="1" si="0"/>
        <v>2968760.3558039898</v>
      </c>
      <c r="M19" s="200">
        <f>'MATRIZ COMPLETO PROPOSTA'!BD19+
 'MATRIZ COMPLETO PROPOSTA'!BA19+
 'MATRIZ COMPLETO PROPOSTA'!AX19+
 'MATRIZ COMPLETO PROPOSTA'!AS19+
 'MATRIZ COMPLETO PROPOSTA'!AM19</f>
        <v>1136722.6226801039</v>
      </c>
      <c r="O19" s="200"/>
      <c r="Q19" s="240"/>
    </row>
    <row r="20" spans="2:17" x14ac:dyDescent="0.3">
      <c r="B20" s="235" t="s">
        <v>152</v>
      </c>
      <c r="C20" s="235" t="s">
        <v>161</v>
      </c>
      <c r="D20" s="235" t="s">
        <v>94</v>
      </c>
      <c r="E20" s="236"/>
      <c r="F20" s="236"/>
      <c r="G20" s="237">
        <f ca="1">'MATRIZ COMPLETO PROPOSTA'!H20</f>
        <v>1499721.6122145499</v>
      </c>
      <c r="H20" s="237"/>
      <c r="I20" s="237"/>
      <c r="J20" s="237"/>
      <c r="K20" s="237">
        <f t="shared" ca="1" si="0"/>
        <v>1499721.6122145499</v>
      </c>
      <c r="L20" s="236"/>
      <c r="M20" s="237">
        <f>'MATRIZ COMPLETO PROPOSTA'!BD20+
 'MATRIZ COMPLETO PROPOSTA'!BA20+
 'MATRIZ COMPLETO PROPOSTA'!AX20+
 'MATRIZ COMPLETO PROPOSTA'!AS20+
 'MATRIZ COMPLETO PROPOSTA'!AM20</f>
        <v>424790.21498112043</v>
      </c>
      <c r="N20" s="236"/>
      <c r="O20" s="237"/>
      <c r="P20" s="236"/>
      <c r="Q20" s="243"/>
    </row>
    <row r="21" spans="2:17" x14ac:dyDescent="0.3">
      <c r="B21" s="230" t="s">
        <v>152</v>
      </c>
      <c r="C21" s="230" t="s">
        <v>162</v>
      </c>
      <c r="D21" s="230" t="s">
        <v>94</v>
      </c>
      <c r="G21" s="200">
        <f ca="1">'MATRIZ COMPLETO PROPOSTA'!H21</f>
        <v>1284957.2666801035</v>
      </c>
      <c r="H21" s="200"/>
      <c r="I21" s="200"/>
      <c r="J21" s="200"/>
      <c r="K21" s="200">
        <f t="shared" ca="1" si="0"/>
        <v>1284957.2666801035</v>
      </c>
      <c r="M21" s="200">
        <f>'MATRIZ COMPLETO PROPOSTA'!BD21+
 'MATRIZ COMPLETO PROPOSTA'!BA21+
 'MATRIZ COMPLETO PROPOSTA'!AX21+
 'MATRIZ COMPLETO PROPOSTA'!AS21+
 'MATRIZ COMPLETO PROPOSTA'!AM21</f>
        <v>487416.60151187849</v>
      </c>
      <c r="O21" s="200"/>
      <c r="Q21" s="240"/>
    </row>
    <row r="22" spans="2:17" x14ac:dyDescent="0.3">
      <c r="B22" s="235" t="s">
        <v>152</v>
      </c>
      <c r="C22" s="235" t="s">
        <v>163</v>
      </c>
      <c r="D22" s="235" t="s">
        <v>94</v>
      </c>
      <c r="E22" s="236"/>
      <c r="F22" s="236"/>
      <c r="G22" s="237">
        <f ca="1">'MATRIZ COMPLETO PROPOSTA'!H22</f>
        <v>1261612.1700053541</v>
      </c>
      <c r="H22" s="237"/>
      <c r="I22" s="237"/>
      <c r="J22" s="237"/>
      <c r="K22" s="237">
        <f t="shared" ca="1" si="0"/>
        <v>1261612.1700053541</v>
      </c>
      <c r="L22" s="236"/>
      <c r="M22" s="237">
        <f>'MATRIZ COMPLETO PROPOSTA'!BD22+
 'MATRIZ COMPLETO PROPOSTA'!BA22+
 'MATRIZ COMPLETO PROPOSTA'!AX22+
 'MATRIZ COMPLETO PROPOSTA'!AS22+
 'MATRIZ COMPLETO PROPOSTA'!AM22</f>
        <v>425644.94240217248</v>
      </c>
      <c r="N22" s="236"/>
      <c r="O22" s="237"/>
      <c r="P22" s="236"/>
      <c r="Q22" s="243"/>
    </row>
    <row r="23" spans="2:17" x14ac:dyDescent="0.3">
      <c r="G23" s="200"/>
      <c r="H23" s="200"/>
      <c r="I23" s="200"/>
      <c r="J23" s="200"/>
      <c r="K23" s="200"/>
      <c r="M23" s="200"/>
      <c r="O23" s="200"/>
      <c r="Q23" s="240"/>
    </row>
    <row r="24" spans="2:17" x14ac:dyDescent="0.3">
      <c r="B24" s="231" t="s">
        <v>164</v>
      </c>
      <c r="C24" s="231" t="s">
        <v>165</v>
      </c>
      <c r="D24" s="232" t="s">
        <v>154</v>
      </c>
      <c r="E24" s="232"/>
      <c r="F24" s="232"/>
      <c r="G24" s="238">
        <f ca="1">SUM(G25:G41)</f>
        <v>38604007.779910624</v>
      </c>
      <c r="H24" s="238">
        <f>'MATRIZ COMPLETO PROPOSTA'!Y24</f>
        <v>313175.23184875184</v>
      </c>
      <c r="I24" s="238">
        <f>'MATRIZ COMPLETO PROPOSTA'!AA24</f>
        <v>1028502.1597548625</v>
      </c>
      <c r="J24" s="238">
        <f>'MATRIZ COMPLETO PROPOSTA'!AC24</f>
        <v>3175285.9032922597</v>
      </c>
      <c r="K24" s="238">
        <f ca="1">SUM(G24:J24)</f>
        <v>43120971.074806504</v>
      </c>
      <c r="L24" s="232"/>
      <c r="M24" s="238">
        <f>SUM(M25:M41)</f>
        <v>11338520.797855768</v>
      </c>
      <c r="N24" s="232"/>
      <c r="O24" s="238">
        <f ca="1">K24*'DADOS BASE'!$I$22</f>
        <v>64681.45661220976</v>
      </c>
      <c r="P24" s="232"/>
      <c r="Q24" s="241">
        <f ca="1">SUM(H24:J24)/K24</f>
        <v>0.10475096414363723</v>
      </c>
    </row>
    <row r="25" spans="2:17" x14ac:dyDescent="0.3">
      <c r="B25" s="233" t="s">
        <v>164</v>
      </c>
      <c r="C25" s="234" t="s">
        <v>156</v>
      </c>
      <c r="D25" s="234" t="s">
        <v>157</v>
      </c>
      <c r="E25" s="234"/>
      <c r="F25" s="234"/>
      <c r="G25" s="239">
        <f>('MATRIZ COMPLETO PROPOSTA'!L24+
  'MATRIZ COMPLETO PROPOSTA'!P24*0.25+
  'MATRIZ COMPLETO PROPOSTA'!S24*0.8)
 /
 ('MATRIZ COMPLETO PROPOSTA'!L11+
  'MATRIZ COMPLETO PROPOSTA'!P11*0.25+
  'MATRIZ COMPLETO PROPOSTA'!S11*0.8)
 *
 'DADOS BASE'!$J$93</f>
        <v>4289334.1977678472</v>
      </c>
      <c r="H25" s="239"/>
      <c r="I25" s="239"/>
      <c r="J25" s="239"/>
      <c r="K25" s="239">
        <f t="shared" ref="K25:K41" si="1">J25+I25+H25+G25</f>
        <v>4289334.1977678472</v>
      </c>
      <c r="L25" s="234"/>
      <c r="M25" s="239">
        <f>'MATRIZ COMPLETO PROPOSTA'!BD25+
 'MATRIZ COMPLETO PROPOSTA'!BA25+
 'MATRIZ COMPLETO PROPOSTA'!AX25+
 'MATRIZ COMPLETO PROPOSTA'!AS25+
 'MATRIZ COMPLETO PROPOSTA'!AM25</f>
        <v>0</v>
      </c>
      <c r="N25" s="234"/>
      <c r="O25" s="239"/>
      <c r="P25" s="234"/>
      <c r="Q25" s="242"/>
    </row>
    <row r="26" spans="2:17" x14ac:dyDescent="0.3">
      <c r="B26" s="235" t="s">
        <v>164</v>
      </c>
      <c r="C26" s="235" t="s">
        <v>166</v>
      </c>
      <c r="D26" s="235" t="s">
        <v>94</v>
      </c>
      <c r="E26" s="236"/>
      <c r="F26" s="236"/>
      <c r="G26" s="237">
        <f ca="1">'MATRIZ COMPLETO PROPOSTA'!H26</f>
        <v>1884668.9998249609</v>
      </c>
      <c r="H26" s="237"/>
      <c r="I26" s="237"/>
      <c r="J26" s="237"/>
      <c r="K26" s="237">
        <f t="shared" ca="1" si="1"/>
        <v>1884668.9998249609</v>
      </c>
      <c r="L26" s="236"/>
      <c r="M26" s="237">
        <f>'MATRIZ COMPLETO PROPOSTA'!BD26+
 'MATRIZ COMPLETO PROPOSTA'!BA26+
 'MATRIZ COMPLETO PROPOSTA'!AX26+
 'MATRIZ COMPLETO PROPOSTA'!AS26+
 'MATRIZ COMPLETO PROPOSTA'!AM26</f>
        <v>822707.02312234521</v>
      </c>
      <c r="N26" s="236"/>
      <c r="O26" s="237"/>
      <c r="P26" s="236"/>
      <c r="Q26" s="243"/>
    </row>
    <row r="27" spans="2:17" x14ac:dyDescent="0.3">
      <c r="B27" s="230" t="s">
        <v>164</v>
      </c>
      <c r="C27" s="230" t="s">
        <v>167</v>
      </c>
      <c r="D27" s="230" t="s">
        <v>98</v>
      </c>
      <c r="G27" s="200">
        <f ca="1">'MATRIZ COMPLETO PROPOSTA'!H27</f>
        <v>275009.80934339797</v>
      </c>
      <c r="H27" s="200"/>
      <c r="I27" s="200"/>
      <c r="J27" s="200"/>
      <c r="K27" s="200">
        <f t="shared" ca="1" si="1"/>
        <v>275009.80934339797</v>
      </c>
      <c r="M27" s="200">
        <f>'MATRIZ COMPLETO PROPOSTA'!BD27+
 'MATRIZ COMPLETO PROPOSTA'!BA27+
 'MATRIZ COMPLETO PROPOSTA'!AX27+
 'MATRIZ COMPLETO PROPOSTA'!AS27+
 'MATRIZ COMPLETO PROPOSTA'!AM27</f>
        <v>138951.57138258003</v>
      </c>
      <c r="O27" s="200"/>
      <c r="Q27" s="240"/>
    </row>
    <row r="28" spans="2:17" x14ac:dyDescent="0.3">
      <c r="B28" s="235" t="s">
        <v>164</v>
      </c>
      <c r="C28" s="235" t="s">
        <v>168</v>
      </c>
      <c r="D28" s="235" t="s">
        <v>94</v>
      </c>
      <c r="E28" s="236"/>
      <c r="F28" s="236"/>
      <c r="G28" s="237">
        <f ca="1">'MATRIZ COMPLETO PROPOSTA'!H28</f>
        <v>1212388.8083547447</v>
      </c>
      <c r="H28" s="237"/>
      <c r="I28" s="237"/>
      <c r="J28" s="237"/>
      <c r="K28" s="237">
        <f t="shared" ca="1" si="1"/>
        <v>1212388.8083547447</v>
      </c>
      <c r="L28" s="236"/>
      <c r="M28" s="237">
        <f>'MATRIZ COMPLETO PROPOSTA'!BD28+
 'MATRIZ COMPLETO PROPOSTA'!BA28+
 'MATRIZ COMPLETO PROPOSTA'!AX28+
 'MATRIZ COMPLETO PROPOSTA'!AS28+
 'MATRIZ COMPLETO PROPOSTA'!AM28</f>
        <v>282113.31672189501</v>
      </c>
      <c r="N28" s="236"/>
      <c r="O28" s="237"/>
      <c r="P28" s="236"/>
      <c r="Q28" s="243"/>
    </row>
    <row r="29" spans="2:17" x14ac:dyDescent="0.3">
      <c r="B29" s="230" t="s">
        <v>164</v>
      </c>
      <c r="C29" s="230" t="s">
        <v>169</v>
      </c>
      <c r="D29" s="230" t="s">
        <v>94</v>
      </c>
      <c r="G29" s="200">
        <f ca="1">'MATRIZ COMPLETO PROPOSTA'!H29</f>
        <v>1420786.0222612827</v>
      </c>
      <c r="H29" s="200"/>
      <c r="I29" s="200"/>
      <c r="J29" s="200"/>
      <c r="K29" s="200">
        <f t="shared" ca="1" si="1"/>
        <v>1420786.0222612827</v>
      </c>
      <c r="M29" s="200">
        <f>'MATRIZ COMPLETO PROPOSTA'!BD29+
 'MATRIZ COMPLETO PROPOSTA'!BA29+
 'MATRIZ COMPLETO PROPOSTA'!AX29+
 'MATRIZ COMPLETO PROPOSTA'!AS29+
 'MATRIZ COMPLETO PROPOSTA'!AM29</f>
        <v>513772.90219625703</v>
      </c>
      <c r="O29" s="200"/>
      <c r="Q29" s="240"/>
    </row>
    <row r="30" spans="2:17" x14ac:dyDescent="0.3">
      <c r="B30" s="235" t="s">
        <v>164</v>
      </c>
      <c r="C30" s="235" t="s">
        <v>170</v>
      </c>
      <c r="D30" s="235" t="s">
        <v>94</v>
      </c>
      <c r="E30" s="236"/>
      <c r="F30" s="236"/>
      <c r="G30" s="237">
        <f ca="1">'MATRIZ COMPLETO PROPOSTA'!H30</f>
        <v>10321887.97773933</v>
      </c>
      <c r="H30" s="237"/>
      <c r="I30" s="237"/>
      <c r="J30" s="237"/>
      <c r="K30" s="237">
        <f t="shared" ca="1" si="1"/>
        <v>10321887.97773933</v>
      </c>
      <c r="L30" s="236"/>
      <c r="M30" s="237">
        <f>'MATRIZ COMPLETO PROPOSTA'!BD30+
 'MATRIZ COMPLETO PROPOSTA'!BA30+
 'MATRIZ COMPLETO PROPOSTA'!AX30+
 'MATRIZ COMPLETO PROPOSTA'!AS30+
 'MATRIZ COMPLETO PROPOSTA'!AM30</f>
        <v>2763313.5151485451</v>
      </c>
      <c r="N30" s="236"/>
      <c r="O30" s="237"/>
      <c r="P30" s="236"/>
      <c r="Q30" s="243"/>
    </row>
    <row r="31" spans="2:17" x14ac:dyDescent="0.3">
      <c r="B31" s="230" t="s">
        <v>164</v>
      </c>
      <c r="C31" s="230" t="s">
        <v>171</v>
      </c>
      <c r="D31" s="230" t="s">
        <v>94</v>
      </c>
      <c r="G31" s="200">
        <f ca="1">'MATRIZ COMPLETO PROPOSTA'!H31</f>
        <v>1613783.0953531754</v>
      </c>
      <c r="H31" s="200"/>
      <c r="I31" s="200"/>
      <c r="J31" s="200"/>
      <c r="K31" s="200">
        <f t="shared" ca="1" si="1"/>
        <v>1613783.0953531754</v>
      </c>
      <c r="M31" s="200">
        <f>'MATRIZ COMPLETO PROPOSTA'!BD31+
 'MATRIZ COMPLETO PROPOSTA'!BA31+
 'MATRIZ COMPLETO PROPOSTA'!AX31+
 'MATRIZ COMPLETO PROPOSTA'!AS31+
 'MATRIZ COMPLETO PROPOSTA'!AM31</f>
        <v>537257.67310737632</v>
      </c>
      <c r="O31" s="200"/>
      <c r="Q31" s="240"/>
    </row>
    <row r="32" spans="2:17" x14ac:dyDescent="0.3">
      <c r="B32" s="235" t="s">
        <v>164</v>
      </c>
      <c r="C32" s="235" t="s">
        <v>172</v>
      </c>
      <c r="D32" s="235" t="s">
        <v>94</v>
      </c>
      <c r="E32" s="236"/>
      <c r="F32" s="236"/>
      <c r="G32" s="237">
        <f ca="1">'MATRIZ COMPLETO PROPOSTA'!H32</f>
        <v>881205.9479938366</v>
      </c>
      <c r="H32" s="237"/>
      <c r="I32" s="237"/>
      <c r="J32" s="237"/>
      <c r="K32" s="237">
        <f t="shared" ca="1" si="1"/>
        <v>881205.9479938366</v>
      </c>
      <c r="L32" s="236"/>
      <c r="M32" s="237">
        <f>'MATRIZ COMPLETO PROPOSTA'!BD32+
 'MATRIZ COMPLETO PROPOSTA'!BA32+
 'MATRIZ COMPLETO PROPOSTA'!AX32+
 'MATRIZ COMPLETO PROPOSTA'!AS32+
 'MATRIZ COMPLETO PROPOSTA'!AM32</f>
        <v>473573.22777473438</v>
      </c>
      <c r="N32" s="236"/>
      <c r="O32" s="237"/>
      <c r="P32" s="236"/>
      <c r="Q32" s="243"/>
    </row>
    <row r="33" spans="2:17" x14ac:dyDescent="0.3">
      <c r="B33" s="230" t="s">
        <v>164</v>
      </c>
      <c r="C33" s="230" t="s">
        <v>173</v>
      </c>
      <c r="D33" s="230" t="s">
        <v>94</v>
      </c>
      <c r="G33" s="200">
        <f ca="1">'MATRIZ COMPLETO PROPOSTA'!H33</f>
        <v>2454732.9700967539</v>
      </c>
      <c r="H33" s="200"/>
      <c r="I33" s="200"/>
      <c r="J33" s="200"/>
      <c r="K33" s="200">
        <f t="shared" ca="1" si="1"/>
        <v>2454732.9700967539</v>
      </c>
      <c r="M33" s="200">
        <f>'MATRIZ COMPLETO PROPOSTA'!BD33+
 'MATRIZ COMPLETO PROPOSTA'!BA33+
 'MATRIZ COMPLETO PROPOSTA'!AX33+
 'MATRIZ COMPLETO PROPOSTA'!AS33+
 'MATRIZ COMPLETO PROPOSTA'!AM33</f>
        <v>640802.05559060292</v>
      </c>
      <c r="O33" s="200"/>
      <c r="Q33" s="240"/>
    </row>
    <row r="34" spans="2:17" x14ac:dyDescent="0.3">
      <c r="B34" s="235" t="s">
        <v>164</v>
      </c>
      <c r="C34" s="235" t="s">
        <v>174</v>
      </c>
      <c r="D34" s="235" t="s">
        <v>94</v>
      </c>
      <c r="E34" s="236"/>
      <c r="F34" s="236"/>
      <c r="G34" s="237">
        <f ca="1">'MATRIZ COMPLETO PROPOSTA'!H34</f>
        <v>3437020.5521632666</v>
      </c>
      <c r="H34" s="237"/>
      <c r="I34" s="237"/>
      <c r="J34" s="237"/>
      <c r="K34" s="237">
        <f t="shared" ca="1" si="1"/>
        <v>3437020.5521632666</v>
      </c>
      <c r="L34" s="236"/>
      <c r="M34" s="237">
        <f>'MATRIZ COMPLETO PROPOSTA'!BD34+
 'MATRIZ COMPLETO PROPOSTA'!BA34+
 'MATRIZ COMPLETO PROPOSTA'!AX34+
 'MATRIZ COMPLETO PROPOSTA'!AS34+
 'MATRIZ COMPLETO PROPOSTA'!AM34</f>
        <v>1368370.5332571934</v>
      </c>
      <c r="N34" s="236"/>
      <c r="O34" s="237"/>
      <c r="P34" s="236"/>
      <c r="Q34" s="243"/>
    </row>
    <row r="35" spans="2:17" x14ac:dyDescent="0.3">
      <c r="B35" s="230" t="s">
        <v>164</v>
      </c>
      <c r="C35" s="230" t="s">
        <v>175</v>
      </c>
      <c r="D35" s="230" t="s">
        <v>94</v>
      </c>
      <c r="G35" s="200">
        <f ca="1">'MATRIZ COMPLETO PROPOSTA'!H35</f>
        <v>1578995.3549430214</v>
      </c>
      <c r="H35" s="200"/>
      <c r="I35" s="200"/>
      <c r="J35" s="200"/>
      <c r="K35" s="200">
        <f t="shared" ca="1" si="1"/>
        <v>1578995.3549430214</v>
      </c>
      <c r="M35" s="200">
        <f>'MATRIZ COMPLETO PROPOSTA'!BD35+
 'MATRIZ COMPLETO PROPOSTA'!BA35+
 'MATRIZ COMPLETO PROPOSTA'!AX35+
 'MATRIZ COMPLETO PROPOSTA'!AS35+
 'MATRIZ COMPLETO PROPOSTA'!AM35</f>
        <v>676129.4712423993</v>
      </c>
      <c r="O35" s="200"/>
      <c r="Q35" s="240"/>
    </row>
    <row r="36" spans="2:17" x14ac:dyDescent="0.3">
      <c r="B36" s="235" t="s">
        <v>164</v>
      </c>
      <c r="C36" s="235" t="s">
        <v>176</v>
      </c>
      <c r="D36" s="235" t="s">
        <v>94</v>
      </c>
      <c r="E36" s="236"/>
      <c r="F36" s="236"/>
      <c r="G36" s="237">
        <f ca="1">'MATRIZ COMPLETO PROPOSTA'!H36</f>
        <v>2867328.2082874486</v>
      </c>
      <c r="H36" s="237"/>
      <c r="I36" s="237"/>
      <c r="J36" s="237"/>
      <c r="K36" s="237">
        <f t="shared" ca="1" si="1"/>
        <v>2867328.2082874486</v>
      </c>
      <c r="L36" s="236"/>
      <c r="M36" s="237">
        <f>'MATRIZ COMPLETO PROPOSTA'!BD36+
 'MATRIZ COMPLETO PROPOSTA'!BA36+
 'MATRIZ COMPLETO PROPOSTA'!AX36+
 'MATRIZ COMPLETO PROPOSTA'!AS36+
 'MATRIZ COMPLETO PROPOSTA'!AM36</f>
        <v>759724.03939566528</v>
      </c>
      <c r="N36" s="236"/>
      <c r="O36" s="237"/>
      <c r="P36" s="236"/>
      <c r="Q36" s="243"/>
    </row>
    <row r="37" spans="2:17" x14ac:dyDescent="0.3">
      <c r="B37" s="230" t="s">
        <v>164</v>
      </c>
      <c r="C37" s="230" t="s">
        <v>177</v>
      </c>
      <c r="D37" s="230" t="s">
        <v>94</v>
      </c>
      <c r="G37" s="200">
        <f ca="1">'MATRIZ COMPLETO PROPOSTA'!H37</f>
        <v>149421.01191787439</v>
      </c>
      <c r="H37" s="200"/>
      <c r="I37" s="200"/>
      <c r="J37" s="200"/>
      <c r="K37" s="200">
        <f t="shared" ca="1" si="1"/>
        <v>149421.01191787439</v>
      </c>
      <c r="M37" s="200">
        <f>'MATRIZ COMPLETO PROPOSTA'!BD37+
 'MATRIZ COMPLETO PROPOSTA'!BA37+
 'MATRIZ COMPLETO PROPOSTA'!AX37+
 'MATRIZ COMPLETO PROPOSTA'!AS37+
 'MATRIZ COMPLETO PROPOSTA'!AM37</f>
        <v>92675.98810150192</v>
      </c>
      <c r="O37" s="200"/>
      <c r="Q37" s="240"/>
    </row>
    <row r="38" spans="2:17" x14ac:dyDescent="0.3">
      <c r="B38" s="235" t="s">
        <v>164</v>
      </c>
      <c r="C38" s="235" t="s">
        <v>178</v>
      </c>
      <c r="D38" s="235" t="s">
        <v>92</v>
      </c>
      <c r="E38" s="236"/>
      <c r="F38" s="236"/>
      <c r="G38" s="237">
        <f ca="1">'MATRIZ COMPLETO PROPOSTA'!H38</f>
        <v>1754419.376763023</v>
      </c>
      <c r="H38" s="237"/>
      <c r="I38" s="237"/>
      <c r="J38" s="237"/>
      <c r="K38" s="237">
        <f t="shared" ca="1" si="1"/>
        <v>1754419.376763023</v>
      </c>
      <c r="L38" s="236"/>
      <c r="M38" s="237">
        <f>'MATRIZ COMPLETO PROPOSTA'!BD38+
 'MATRIZ COMPLETO PROPOSTA'!BA38+
 'MATRIZ COMPLETO PROPOSTA'!AX38+
 'MATRIZ COMPLETO PROPOSTA'!AS38+
 'MATRIZ COMPLETO PROPOSTA'!AM38</f>
        <v>606995.72976435162</v>
      </c>
      <c r="N38" s="236"/>
      <c r="O38" s="237"/>
      <c r="P38" s="236"/>
      <c r="Q38" s="243"/>
    </row>
    <row r="39" spans="2:17" x14ac:dyDescent="0.3">
      <c r="B39" s="230" t="s">
        <v>164</v>
      </c>
      <c r="C39" s="230" t="s">
        <v>179</v>
      </c>
      <c r="D39" s="230" t="s">
        <v>94</v>
      </c>
      <c r="G39" s="200">
        <f ca="1">'MATRIZ COMPLETO PROPOSTA'!H39</f>
        <v>560953.94085739646</v>
      </c>
      <c r="H39" s="200"/>
      <c r="I39" s="200"/>
      <c r="J39" s="200"/>
      <c r="K39" s="200">
        <f t="shared" ca="1" si="1"/>
        <v>560953.94085739646</v>
      </c>
      <c r="M39" s="200">
        <f>'MATRIZ COMPLETO PROPOSTA'!BD39+
 'MATRIZ COMPLETO PROPOSTA'!BA39+
 'MATRIZ COMPLETO PROPOSTA'!AX39+
 'MATRIZ COMPLETO PROPOSTA'!AS39+
 'MATRIZ COMPLETO PROPOSTA'!AM39</f>
        <v>254081.27288064797</v>
      </c>
      <c r="O39" s="200"/>
      <c r="Q39" s="240"/>
    </row>
    <row r="40" spans="2:17" x14ac:dyDescent="0.3">
      <c r="B40" s="235" t="s">
        <v>164</v>
      </c>
      <c r="C40" s="235" t="s">
        <v>180</v>
      </c>
      <c r="D40" s="235" t="s">
        <v>92</v>
      </c>
      <c r="E40" s="236"/>
      <c r="F40" s="236"/>
      <c r="G40" s="237">
        <f ca="1">'MATRIZ COMPLETO PROPOSTA'!H40</f>
        <v>3343720.619672324</v>
      </c>
      <c r="H40" s="237"/>
      <c r="I40" s="237"/>
      <c r="J40" s="237"/>
      <c r="K40" s="237">
        <f t="shared" ca="1" si="1"/>
        <v>3343720.619672324</v>
      </c>
      <c r="L40" s="236"/>
      <c r="M40" s="237">
        <f>'MATRIZ COMPLETO PROPOSTA'!BD40+
 'MATRIZ COMPLETO PROPOSTA'!BA40+
 'MATRIZ COMPLETO PROPOSTA'!AX40+
 'MATRIZ COMPLETO PROPOSTA'!AS40+
 'MATRIZ COMPLETO PROPOSTA'!AM40</f>
        <v>1042645.0937380842</v>
      </c>
      <c r="N40" s="236"/>
      <c r="O40" s="237"/>
      <c r="P40" s="236"/>
      <c r="Q40" s="243"/>
    </row>
    <row r="41" spans="2:17" x14ac:dyDescent="0.3">
      <c r="B41" s="230" t="s">
        <v>164</v>
      </c>
      <c r="C41" s="230" t="s">
        <v>181</v>
      </c>
      <c r="D41" s="230" t="s">
        <v>94</v>
      </c>
      <c r="G41" s="200">
        <f ca="1">'MATRIZ COMPLETO PROPOSTA'!H41</f>
        <v>558350.88657094701</v>
      </c>
      <c r="H41" s="200"/>
      <c r="I41" s="200"/>
      <c r="J41" s="200"/>
      <c r="K41" s="200">
        <f t="shared" ca="1" si="1"/>
        <v>558350.88657094701</v>
      </c>
      <c r="M41" s="200">
        <f>'MATRIZ COMPLETO PROPOSTA'!BD41+
 'MATRIZ COMPLETO PROPOSTA'!BA41+
 'MATRIZ COMPLETO PROPOSTA'!AX41+
 'MATRIZ COMPLETO PROPOSTA'!AS41+
 'MATRIZ COMPLETO PROPOSTA'!AM41</f>
        <v>365407.38443159033</v>
      </c>
      <c r="O41" s="200"/>
      <c r="Q41" s="240"/>
    </row>
    <row r="42" spans="2:17" x14ac:dyDescent="0.3">
      <c r="G42" s="200"/>
      <c r="H42" s="200"/>
      <c r="I42" s="200"/>
      <c r="J42" s="200"/>
      <c r="K42" s="200"/>
      <c r="M42" s="200"/>
      <c r="O42" s="200"/>
      <c r="Q42" s="240"/>
    </row>
    <row r="43" spans="2:17" x14ac:dyDescent="0.3">
      <c r="B43" s="231" t="s">
        <v>182</v>
      </c>
      <c r="C43" s="231" t="s">
        <v>183</v>
      </c>
      <c r="D43" s="232" t="s">
        <v>154</v>
      </c>
      <c r="E43" s="232"/>
      <c r="F43" s="232"/>
      <c r="G43" s="238">
        <f ca="1">SUM(G44:G61)</f>
        <v>35213976.348167337</v>
      </c>
      <c r="H43" s="238">
        <f>'MATRIZ COMPLETO PROPOSTA'!Y43</f>
        <v>1668230.9911162783</v>
      </c>
      <c r="I43" s="238">
        <f>'MATRIZ COMPLETO PROPOSTA'!AA43</f>
        <v>952828.00732495822</v>
      </c>
      <c r="J43" s="238">
        <f>'MATRIZ COMPLETO PROPOSTA'!AC43</f>
        <v>3971121.9940211009</v>
      </c>
      <c r="K43" s="238">
        <f ca="1">SUM(G43:J43)</f>
        <v>41806157.340629674</v>
      </c>
      <c r="L43" s="232"/>
      <c r="M43" s="238">
        <f>SUM(M44:M61)</f>
        <v>10400627.835179927</v>
      </c>
      <c r="N43" s="232"/>
      <c r="O43" s="238">
        <f ca="1">K43*'DADOS BASE'!$I$22</f>
        <v>62709.236010944514</v>
      </c>
      <c r="P43" s="232"/>
      <c r="Q43" s="241">
        <f ca="1">SUM(H43:J43)/K43</f>
        <v>0.15768445156894792</v>
      </c>
    </row>
    <row r="44" spans="2:17" x14ac:dyDescent="0.3">
      <c r="B44" s="233" t="s">
        <v>182</v>
      </c>
      <c r="C44" s="234" t="s">
        <v>156</v>
      </c>
      <c r="D44" s="234" t="s">
        <v>157</v>
      </c>
      <c r="E44" s="234"/>
      <c r="F44" s="234"/>
      <c r="G44" s="239">
        <f>('MATRIZ COMPLETO PROPOSTA'!L43+
  'MATRIZ COMPLETO PROPOSTA'!P43*0.25+
  'MATRIZ COMPLETO PROPOSTA'!S43*0.8)
 /
 ('MATRIZ COMPLETO PROPOSTA'!L11+
  'MATRIZ COMPLETO PROPOSTA'!P11*0.25+
  'MATRIZ COMPLETO PROPOSTA'!S11*0.8)
 *
 'DADOS BASE'!$J$93</f>
        <v>3780851.3404066968</v>
      </c>
      <c r="H44" s="239"/>
      <c r="I44" s="239"/>
      <c r="J44" s="239"/>
      <c r="K44" s="239">
        <f t="shared" ref="K44:K61" si="2">J44+I44+H44+G44</f>
        <v>3780851.3404066968</v>
      </c>
      <c r="L44" s="234"/>
      <c r="M44" s="239">
        <f>'MATRIZ COMPLETO PROPOSTA'!BD44+
 'MATRIZ COMPLETO PROPOSTA'!BA44+
 'MATRIZ COMPLETO PROPOSTA'!AX44+
 'MATRIZ COMPLETO PROPOSTA'!AS44+
 'MATRIZ COMPLETO PROPOSTA'!AM44</f>
        <v>0</v>
      </c>
      <c r="N44" s="234"/>
      <c r="O44" s="239"/>
      <c r="P44" s="234"/>
      <c r="Q44" s="242"/>
    </row>
    <row r="45" spans="2:17" x14ac:dyDescent="0.3">
      <c r="B45" s="230" t="s">
        <v>182</v>
      </c>
      <c r="C45" s="230" t="s">
        <v>184</v>
      </c>
      <c r="D45" s="230" t="s">
        <v>96</v>
      </c>
      <c r="G45" s="200">
        <f ca="1">'MATRIZ COMPLETO PROPOSTA'!H45</f>
        <v>700000</v>
      </c>
      <c r="H45" s="200"/>
      <c r="I45" s="200"/>
      <c r="J45" s="200"/>
      <c r="K45" s="200">
        <f t="shared" ca="1" si="2"/>
        <v>700000</v>
      </c>
      <c r="M45" s="200">
        <f>'MATRIZ COMPLETO PROPOSTA'!BD45+
 'MATRIZ COMPLETO PROPOSTA'!BA45+
 'MATRIZ COMPLETO PROPOSTA'!AX45+
 'MATRIZ COMPLETO PROPOSTA'!AS45+
 'MATRIZ COMPLETO PROPOSTA'!AM45</f>
        <v>54379.097282951006</v>
      </c>
      <c r="O45" s="200"/>
      <c r="Q45" s="240"/>
    </row>
    <row r="46" spans="2:17" x14ac:dyDescent="0.3">
      <c r="B46" s="235" t="s">
        <v>182</v>
      </c>
      <c r="C46" s="235" t="s">
        <v>185</v>
      </c>
      <c r="D46" s="235" t="s">
        <v>96</v>
      </c>
      <c r="E46" s="236"/>
      <c r="F46" s="236"/>
      <c r="G46" s="237">
        <f ca="1">'MATRIZ COMPLETO PROPOSTA'!H46</f>
        <v>700000</v>
      </c>
      <c r="H46" s="237"/>
      <c r="I46" s="237"/>
      <c r="J46" s="237"/>
      <c r="K46" s="237">
        <f t="shared" ca="1" si="2"/>
        <v>700000</v>
      </c>
      <c r="L46" s="236"/>
      <c r="M46" s="237">
        <f>'MATRIZ COMPLETO PROPOSTA'!BD46+
 'MATRIZ COMPLETO PROPOSTA'!BA46+
 'MATRIZ COMPLETO PROPOSTA'!AX46+
 'MATRIZ COMPLETO PROPOSTA'!AS46+
 'MATRIZ COMPLETO PROPOSTA'!AM46</f>
        <v>89108.727360413308</v>
      </c>
      <c r="N46" s="236"/>
      <c r="O46" s="237"/>
      <c r="P46" s="236"/>
      <c r="Q46" s="243"/>
    </row>
    <row r="47" spans="2:17" x14ac:dyDescent="0.3">
      <c r="B47" s="230" t="s">
        <v>182</v>
      </c>
      <c r="C47" s="230" t="s">
        <v>186</v>
      </c>
      <c r="D47" s="230" t="s">
        <v>96</v>
      </c>
      <c r="G47" s="200">
        <f ca="1">'MATRIZ COMPLETO PROPOSTA'!H47</f>
        <v>603109.16196314001</v>
      </c>
      <c r="H47" s="200"/>
      <c r="I47" s="200"/>
      <c r="J47" s="200"/>
      <c r="K47" s="200">
        <f t="shared" ca="1" si="2"/>
        <v>603109.16196314001</v>
      </c>
      <c r="M47" s="200">
        <f>'MATRIZ COMPLETO PROPOSTA'!BD47+
 'MATRIZ COMPLETO PROPOSTA'!BA47+
 'MATRIZ COMPLETO PROPOSTA'!AX47+
 'MATRIZ COMPLETO PROPOSTA'!AS47+
 'MATRIZ COMPLETO PROPOSTA'!AM47</f>
        <v>181911.71030582814</v>
      </c>
      <c r="O47" s="200"/>
      <c r="Q47" s="240"/>
    </row>
    <row r="48" spans="2:17" x14ac:dyDescent="0.3">
      <c r="B48" s="235" t="s">
        <v>182</v>
      </c>
      <c r="C48" s="235" t="s">
        <v>187</v>
      </c>
      <c r="D48" s="235" t="s">
        <v>92</v>
      </c>
      <c r="E48" s="236"/>
      <c r="F48" s="236"/>
      <c r="G48" s="237">
        <f ca="1">'MATRIZ COMPLETO PROPOSTA'!H48</f>
        <v>1454476.4523526498</v>
      </c>
      <c r="H48" s="237"/>
      <c r="I48" s="237"/>
      <c r="J48" s="237"/>
      <c r="K48" s="237">
        <f t="shared" ca="1" si="2"/>
        <v>1454476.4523526498</v>
      </c>
      <c r="L48" s="236"/>
      <c r="M48" s="237">
        <f>'MATRIZ COMPLETO PROPOSTA'!BD48+
 'MATRIZ COMPLETO PROPOSTA'!BA48+
 'MATRIZ COMPLETO PROPOSTA'!AX48+
 'MATRIZ COMPLETO PROPOSTA'!AS48+
 'MATRIZ COMPLETO PROPOSTA'!AM48</f>
        <v>565302.23465873883</v>
      </c>
      <c r="N48" s="236"/>
      <c r="O48" s="237"/>
      <c r="P48" s="236"/>
      <c r="Q48" s="243"/>
    </row>
    <row r="49" spans="2:17" x14ac:dyDescent="0.3">
      <c r="B49" s="230" t="s">
        <v>182</v>
      </c>
      <c r="C49" s="230" t="s">
        <v>188</v>
      </c>
      <c r="D49" s="230" t="s">
        <v>92</v>
      </c>
      <c r="G49" s="200">
        <f ca="1">'MATRIZ COMPLETO PROPOSTA'!H49</f>
        <v>1319760.8955615575</v>
      </c>
      <c r="H49" s="200"/>
      <c r="I49" s="200"/>
      <c r="J49" s="200"/>
      <c r="K49" s="200">
        <f t="shared" ca="1" si="2"/>
        <v>1319760.8955615575</v>
      </c>
      <c r="M49" s="200">
        <f>'MATRIZ COMPLETO PROPOSTA'!BD49+
 'MATRIZ COMPLETO PROPOSTA'!BA49+
 'MATRIZ COMPLETO PROPOSTA'!AX49+
 'MATRIZ COMPLETO PROPOSTA'!AS49+
 'MATRIZ COMPLETO PROPOSTA'!AM49</f>
        <v>541160.66157214355</v>
      </c>
      <c r="O49" s="200"/>
      <c r="Q49" s="240"/>
    </row>
    <row r="50" spans="2:17" x14ac:dyDescent="0.3">
      <c r="B50" s="235" t="s">
        <v>182</v>
      </c>
      <c r="C50" s="235" t="s">
        <v>189</v>
      </c>
      <c r="D50" s="235" t="s">
        <v>92</v>
      </c>
      <c r="E50" s="236"/>
      <c r="F50" s="236"/>
      <c r="G50" s="237">
        <f ca="1">'MATRIZ COMPLETO PROPOSTA'!H50</f>
        <v>1238497.3732165738</v>
      </c>
      <c r="H50" s="237"/>
      <c r="I50" s="237"/>
      <c r="J50" s="237"/>
      <c r="K50" s="237">
        <f t="shared" ca="1" si="2"/>
        <v>1238497.3732165738</v>
      </c>
      <c r="L50" s="236"/>
      <c r="M50" s="237">
        <f>'MATRIZ COMPLETO PROPOSTA'!BD50+
 'MATRIZ COMPLETO PROPOSTA'!BA50+
 'MATRIZ COMPLETO PROPOSTA'!AX50+
 'MATRIZ COMPLETO PROPOSTA'!AS50+
 'MATRIZ COMPLETO PROPOSTA'!AM50</f>
        <v>473214.79503667285</v>
      </c>
      <c r="N50" s="236"/>
      <c r="O50" s="237"/>
      <c r="P50" s="236"/>
      <c r="Q50" s="243"/>
    </row>
    <row r="51" spans="2:17" x14ac:dyDescent="0.3">
      <c r="B51" s="230" t="s">
        <v>182</v>
      </c>
      <c r="C51" s="230" t="s">
        <v>190</v>
      </c>
      <c r="D51" s="230" t="s">
        <v>92</v>
      </c>
      <c r="G51" s="200">
        <f ca="1">'MATRIZ COMPLETO PROPOSTA'!H51</f>
        <v>1163589.1384182821</v>
      </c>
      <c r="H51" s="200"/>
      <c r="I51" s="200"/>
      <c r="J51" s="200"/>
      <c r="K51" s="200">
        <f t="shared" ca="1" si="2"/>
        <v>1163589.1384182821</v>
      </c>
      <c r="M51" s="200">
        <f>'MATRIZ COMPLETO PROPOSTA'!BD51+
 'MATRIZ COMPLETO PROPOSTA'!BA51+
 'MATRIZ COMPLETO PROPOSTA'!AX51+
 'MATRIZ COMPLETO PROPOSTA'!AS51+
 'MATRIZ COMPLETO PROPOSTA'!AM51</f>
        <v>478127.28450866818</v>
      </c>
      <c r="O51" s="200"/>
      <c r="Q51" s="240"/>
    </row>
    <row r="52" spans="2:17" x14ac:dyDescent="0.3">
      <c r="B52" s="235" t="s">
        <v>182</v>
      </c>
      <c r="C52" s="235" t="s">
        <v>191</v>
      </c>
      <c r="D52" s="235" t="s">
        <v>92</v>
      </c>
      <c r="E52" s="236"/>
      <c r="F52" s="236"/>
      <c r="G52" s="237">
        <f ca="1">'MATRIZ COMPLETO PROPOSTA'!H52</f>
        <v>1594722.6387162032</v>
      </c>
      <c r="H52" s="237"/>
      <c r="I52" s="237"/>
      <c r="J52" s="237"/>
      <c r="K52" s="237">
        <f t="shared" ca="1" si="2"/>
        <v>1594722.6387162032</v>
      </c>
      <c r="L52" s="236"/>
      <c r="M52" s="237">
        <f>'MATRIZ COMPLETO PROPOSTA'!BD52+
 'MATRIZ COMPLETO PROPOSTA'!BA52+
 'MATRIZ COMPLETO PROPOSTA'!AX52+
 'MATRIZ COMPLETO PROPOSTA'!AS52+
 'MATRIZ COMPLETO PROPOSTA'!AM52</f>
        <v>686743.79970991693</v>
      </c>
      <c r="N52" s="236"/>
      <c r="O52" s="237"/>
      <c r="P52" s="236"/>
      <c r="Q52" s="243"/>
    </row>
    <row r="53" spans="2:17" x14ac:dyDescent="0.3">
      <c r="B53" s="230" t="s">
        <v>182</v>
      </c>
      <c r="C53" s="230" t="s">
        <v>192</v>
      </c>
      <c r="D53" s="230" t="s">
        <v>94</v>
      </c>
      <c r="G53" s="200">
        <f ca="1">'MATRIZ COMPLETO PROPOSTA'!H53</f>
        <v>6472187.7983153183</v>
      </c>
      <c r="H53" s="200"/>
      <c r="I53" s="200"/>
      <c r="J53" s="200"/>
      <c r="K53" s="200">
        <f t="shared" ca="1" si="2"/>
        <v>6472187.7983153183</v>
      </c>
      <c r="M53" s="200">
        <f>'MATRIZ COMPLETO PROPOSTA'!BD53+
 'MATRIZ COMPLETO PROPOSTA'!BA53+
 'MATRIZ COMPLETO PROPOSTA'!AX53+
 'MATRIZ COMPLETO PROPOSTA'!AS53+
 'MATRIZ COMPLETO PROPOSTA'!AM53</f>
        <v>1944527.6481877966</v>
      </c>
      <c r="O53" s="200"/>
      <c r="Q53" s="240"/>
    </row>
    <row r="54" spans="2:17" x14ac:dyDescent="0.3">
      <c r="B54" s="235" t="s">
        <v>182</v>
      </c>
      <c r="C54" s="235" t="s">
        <v>193</v>
      </c>
      <c r="D54" s="235" t="s">
        <v>94</v>
      </c>
      <c r="E54" s="236"/>
      <c r="F54" s="236"/>
      <c r="G54" s="237">
        <f ca="1">'MATRIZ COMPLETO PROPOSTA'!H54</f>
        <v>3158067.8439775244</v>
      </c>
      <c r="H54" s="237"/>
      <c r="I54" s="237"/>
      <c r="J54" s="237"/>
      <c r="K54" s="237">
        <f t="shared" ca="1" si="2"/>
        <v>3158067.8439775244</v>
      </c>
      <c r="L54" s="236"/>
      <c r="M54" s="237">
        <f>'MATRIZ COMPLETO PROPOSTA'!BD54+
 'MATRIZ COMPLETO PROPOSTA'!BA54+
 'MATRIZ COMPLETO PROPOSTA'!AX54+
 'MATRIZ COMPLETO PROPOSTA'!AS54+
 'MATRIZ COMPLETO PROPOSTA'!AM54</f>
        <v>878876.3186650679</v>
      </c>
      <c r="N54" s="236"/>
      <c r="O54" s="237"/>
      <c r="P54" s="236"/>
      <c r="Q54" s="243"/>
    </row>
    <row r="55" spans="2:17" x14ac:dyDescent="0.3">
      <c r="B55" s="230" t="s">
        <v>182</v>
      </c>
      <c r="C55" s="230" t="s">
        <v>194</v>
      </c>
      <c r="D55" s="230" t="s">
        <v>92</v>
      </c>
      <c r="G55" s="200">
        <f ca="1">'MATRIZ COMPLETO PROPOSTA'!H55</f>
        <v>4630419.9268774213</v>
      </c>
      <c r="H55" s="200"/>
      <c r="I55" s="200"/>
      <c r="J55" s="200"/>
      <c r="K55" s="200">
        <f t="shared" ca="1" si="2"/>
        <v>4630419.9268774213</v>
      </c>
      <c r="M55" s="200">
        <f>'MATRIZ COMPLETO PROPOSTA'!BD55+
 'MATRIZ COMPLETO PROPOSTA'!BA55+
 'MATRIZ COMPLETO PROPOSTA'!AX55+
 'MATRIZ COMPLETO PROPOSTA'!AS55+
 'MATRIZ COMPLETO PROPOSTA'!AM55</f>
        <v>1338380.5396866496</v>
      </c>
      <c r="O55" s="200"/>
      <c r="Q55" s="240"/>
    </row>
    <row r="56" spans="2:17" x14ac:dyDescent="0.3">
      <c r="B56" s="235" t="s">
        <v>182</v>
      </c>
      <c r="C56" s="235" t="s">
        <v>195</v>
      </c>
      <c r="D56" s="235" t="s">
        <v>92</v>
      </c>
      <c r="E56" s="236"/>
      <c r="F56" s="236"/>
      <c r="G56" s="237">
        <f ca="1">'MATRIZ COMPLETO PROPOSTA'!H56</f>
        <v>1336648.7469880378</v>
      </c>
      <c r="H56" s="237"/>
      <c r="I56" s="237"/>
      <c r="J56" s="237"/>
      <c r="K56" s="237">
        <f t="shared" ca="1" si="2"/>
        <v>1336648.7469880378</v>
      </c>
      <c r="L56" s="236"/>
      <c r="M56" s="237">
        <f>'MATRIZ COMPLETO PROPOSTA'!BD56+
 'MATRIZ COMPLETO PROPOSTA'!BA56+
 'MATRIZ COMPLETO PROPOSTA'!AX56+
 'MATRIZ COMPLETO PROPOSTA'!AS56+
 'MATRIZ COMPLETO PROPOSTA'!AM56</f>
        <v>440129.32530457131</v>
      </c>
      <c r="N56" s="236"/>
      <c r="O56" s="237"/>
      <c r="P56" s="236"/>
      <c r="Q56" s="243"/>
    </row>
    <row r="57" spans="2:17" x14ac:dyDescent="0.3">
      <c r="B57" s="230" t="s">
        <v>182</v>
      </c>
      <c r="C57" s="230" t="s">
        <v>196</v>
      </c>
      <c r="D57" s="230" t="s">
        <v>92</v>
      </c>
      <c r="G57" s="200">
        <f ca="1">'MATRIZ COMPLETO PROPOSTA'!H57</f>
        <v>2026273.1067164296</v>
      </c>
      <c r="H57" s="200"/>
      <c r="I57" s="200"/>
      <c r="J57" s="200"/>
      <c r="K57" s="200">
        <f t="shared" ca="1" si="2"/>
        <v>2026273.1067164296</v>
      </c>
      <c r="M57" s="200">
        <f>'MATRIZ COMPLETO PROPOSTA'!BD57+
 'MATRIZ COMPLETO PROPOSTA'!BA57+
 'MATRIZ COMPLETO PROPOSTA'!AX57+
 'MATRIZ COMPLETO PROPOSTA'!AS57+
 'MATRIZ COMPLETO PROPOSTA'!AM57</f>
        <v>802061.96739657037</v>
      </c>
      <c r="O57" s="200"/>
      <c r="Q57" s="240"/>
    </row>
    <row r="58" spans="2:17" x14ac:dyDescent="0.3">
      <c r="B58" s="235" t="s">
        <v>182</v>
      </c>
      <c r="C58" s="235" t="s">
        <v>197</v>
      </c>
      <c r="D58" s="235" t="s">
        <v>92</v>
      </c>
      <c r="E58" s="236"/>
      <c r="F58" s="236"/>
      <c r="G58" s="237">
        <f ca="1">'MATRIZ COMPLETO PROPOSTA'!H58</f>
        <v>1558446.4162157513</v>
      </c>
      <c r="H58" s="237"/>
      <c r="I58" s="237"/>
      <c r="J58" s="237"/>
      <c r="K58" s="237">
        <f t="shared" ca="1" si="2"/>
        <v>1558446.4162157513</v>
      </c>
      <c r="L58" s="236"/>
      <c r="M58" s="237">
        <f>'MATRIZ COMPLETO PROPOSTA'!BD58+
 'MATRIZ COMPLETO PROPOSTA'!BA58+
 'MATRIZ COMPLETO PROPOSTA'!AX58+
 'MATRIZ COMPLETO PROPOSTA'!AS58+
 'MATRIZ COMPLETO PROPOSTA'!AM58</f>
        <v>568486.4917607666</v>
      </c>
      <c r="N58" s="236"/>
      <c r="O58" s="237"/>
      <c r="P58" s="236"/>
      <c r="Q58" s="243"/>
    </row>
    <row r="59" spans="2:17" x14ac:dyDescent="0.3">
      <c r="B59" s="230" t="s">
        <v>182</v>
      </c>
      <c r="C59" s="230" t="s">
        <v>198</v>
      </c>
      <c r="D59" s="230" t="s">
        <v>92</v>
      </c>
      <c r="G59" s="200">
        <f ca="1">'MATRIZ COMPLETO PROPOSTA'!H59</f>
        <v>1026092.2791933856</v>
      </c>
      <c r="H59" s="200"/>
      <c r="I59" s="200"/>
      <c r="J59" s="200"/>
      <c r="K59" s="200">
        <f t="shared" ca="1" si="2"/>
        <v>1026092.2791933856</v>
      </c>
      <c r="M59" s="200">
        <f>'MATRIZ COMPLETO PROPOSTA'!BD59+
 'MATRIZ COMPLETO PROPOSTA'!BA59+
 'MATRIZ COMPLETO PROPOSTA'!AX59+
 'MATRIZ COMPLETO PROPOSTA'!AS59+
 'MATRIZ COMPLETO PROPOSTA'!AM59</f>
        <v>516779.42029843677</v>
      </c>
      <c r="O59" s="200"/>
      <c r="Q59" s="240"/>
    </row>
    <row r="60" spans="2:17" x14ac:dyDescent="0.3">
      <c r="B60" s="235" t="s">
        <v>182</v>
      </c>
      <c r="C60" s="235" t="s">
        <v>199</v>
      </c>
      <c r="D60" s="235" t="s">
        <v>92</v>
      </c>
      <c r="E60" s="236"/>
      <c r="F60" s="236"/>
      <c r="G60" s="237">
        <f ca="1">'MATRIZ COMPLETO PROPOSTA'!H60</f>
        <v>1294217.5464483411</v>
      </c>
      <c r="H60" s="237"/>
      <c r="I60" s="237"/>
      <c r="J60" s="237"/>
      <c r="K60" s="237">
        <f t="shared" ca="1" si="2"/>
        <v>1294217.5464483411</v>
      </c>
      <c r="L60" s="236"/>
      <c r="M60" s="237">
        <f>'MATRIZ COMPLETO PROPOSTA'!BD60+
 'MATRIZ COMPLETO PROPOSTA'!BA60+
 'MATRIZ COMPLETO PROPOSTA'!AX60+
 'MATRIZ COMPLETO PROPOSTA'!AS60+
 'MATRIZ COMPLETO PROPOSTA'!AM60</f>
        <v>471173.88435611059</v>
      </c>
      <c r="N60" s="236"/>
      <c r="O60" s="237"/>
      <c r="P60" s="236"/>
      <c r="Q60" s="243"/>
    </row>
    <row r="61" spans="2:17" x14ac:dyDescent="0.3">
      <c r="B61" s="230" t="s">
        <v>182</v>
      </c>
      <c r="C61" s="230" t="s">
        <v>200</v>
      </c>
      <c r="D61" s="230" t="s">
        <v>92</v>
      </c>
      <c r="G61" s="200">
        <f ca="1">'MATRIZ COMPLETO PROPOSTA'!H61</f>
        <v>1156615.6828000259</v>
      </c>
      <c r="H61" s="200"/>
      <c r="I61" s="200"/>
      <c r="J61" s="200"/>
      <c r="K61" s="200">
        <f t="shared" ca="1" si="2"/>
        <v>1156615.6828000259</v>
      </c>
      <c r="M61" s="200">
        <f>'MATRIZ COMPLETO PROPOSTA'!BD61+
 'MATRIZ COMPLETO PROPOSTA'!BA61+
 'MATRIZ COMPLETO PROPOSTA'!AX61+
 'MATRIZ COMPLETO PROPOSTA'!AS61+
 'MATRIZ COMPLETO PROPOSTA'!AM61</f>
        <v>370263.92908862373</v>
      </c>
      <c r="O61" s="200"/>
      <c r="Q61" s="240"/>
    </row>
    <row r="62" spans="2:17" x14ac:dyDescent="0.3">
      <c r="G62" s="200"/>
      <c r="H62" s="200"/>
      <c r="I62" s="200"/>
      <c r="J62" s="200"/>
      <c r="K62" s="200"/>
      <c r="M62" s="200"/>
      <c r="O62" s="200"/>
      <c r="Q62" s="240"/>
    </row>
    <row r="63" spans="2:17" x14ac:dyDescent="0.3">
      <c r="B63" s="231" t="s">
        <v>201</v>
      </c>
      <c r="C63" s="231" t="s">
        <v>202</v>
      </c>
      <c r="D63" s="232" t="s">
        <v>154</v>
      </c>
      <c r="E63" s="232"/>
      <c r="F63" s="232"/>
      <c r="G63" s="238">
        <f ca="1">SUM(G64:G70)</f>
        <v>10175286.345811399</v>
      </c>
      <c r="H63" s="238">
        <f>'MATRIZ COMPLETO PROPOSTA'!Y63</f>
        <v>310883.70576205367</v>
      </c>
      <c r="I63" s="238">
        <f>'MATRIZ COMPLETO PROPOSTA'!AA63</f>
        <v>445240.0603658834</v>
      </c>
      <c r="J63" s="238">
        <f>'MATRIZ COMPLETO PROPOSTA'!AC63</f>
        <v>1886274.2457287749</v>
      </c>
      <c r="K63" s="238">
        <f ca="1">SUM(G63:J63)</f>
        <v>12817684.357668109</v>
      </c>
      <c r="L63" s="232"/>
      <c r="M63" s="238">
        <f>SUM(M64:M70)</f>
        <v>2027253.7065665468</v>
      </c>
      <c r="N63" s="232"/>
      <c r="O63" s="238">
        <f ca="1">K63*'DADOS BASE'!$I$22</f>
        <v>19226.526536502166</v>
      </c>
      <c r="P63" s="232"/>
      <c r="Q63" s="241">
        <f ca="1">SUM(H63:J63)/K63</f>
        <v>0.20615252631618378</v>
      </c>
    </row>
    <row r="64" spans="2:17" x14ac:dyDescent="0.3">
      <c r="B64" s="233" t="s">
        <v>201</v>
      </c>
      <c r="C64" s="234" t="s">
        <v>156</v>
      </c>
      <c r="D64" s="234" t="s">
        <v>157</v>
      </c>
      <c r="E64" s="234"/>
      <c r="F64" s="234"/>
      <c r="G64" s="239">
        <f>('MATRIZ COMPLETO PROPOSTA'!L63+
  'MATRIZ COMPLETO PROPOSTA'!P63*0.25+
  'MATRIZ COMPLETO PROPOSTA'!S63*0.8)
 /
 ('MATRIZ COMPLETO PROPOSTA'!L11+
  'MATRIZ COMPLETO PROPOSTA'!P11*0.25+
  'MATRIZ COMPLETO PROPOSTA'!S11*0.8)
 *
 'DADOS BASE'!$J$93</f>
        <v>1130587.3717568219</v>
      </c>
      <c r="H64" s="239"/>
      <c r="I64" s="239"/>
      <c r="J64" s="239"/>
      <c r="K64" s="239">
        <f t="shared" ref="K64:K70" si="3">J64+I64+H64+G64</f>
        <v>1130587.3717568219</v>
      </c>
      <c r="L64" s="234"/>
      <c r="M64" s="239">
        <f>'MATRIZ COMPLETO PROPOSTA'!BD64+
 'MATRIZ COMPLETO PROPOSTA'!BA64+
 'MATRIZ COMPLETO PROPOSTA'!AX64+
 'MATRIZ COMPLETO PROPOSTA'!AS64+
 'MATRIZ COMPLETO PROPOSTA'!AM64</f>
        <v>0</v>
      </c>
      <c r="N64" s="234"/>
      <c r="O64" s="239"/>
      <c r="P64" s="234"/>
      <c r="Q64" s="242"/>
    </row>
    <row r="65" spans="2:17" x14ac:dyDescent="0.3">
      <c r="B65" s="230" t="s">
        <v>201</v>
      </c>
      <c r="C65" s="230" t="s">
        <v>203</v>
      </c>
      <c r="D65" s="230" t="s">
        <v>96</v>
      </c>
      <c r="G65" s="200">
        <f ca="1">'MATRIZ COMPLETO PROPOSTA'!H65</f>
        <v>169213.57188660084</v>
      </c>
      <c r="H65" s="200"/>
      <c r="I65" s="200"/>
      <c r="J65" s="200"/>
      <c r="K65" s="200">
        <f t="shared" ca="1" si="3"/>
        <v>169213.57188660084</v>
      </c>
      <c r="M65" s="200">
        <f>'MATRIZ COMPLETO PROPOSTA'!BD65+
 'MATRIZ COMPLETO PROPOSTA'!BA65+
 'MATRIZ COMPLETO PROPOSTA'!AX65+
 'MATRIZ COMPLETO PROPOSTA'!AS65+
 'MATRIZ COMPLETO PROPOSTA'!AM65</f>
        <v>48355.511016337798</v>
      </c>
      <c r="O65" s="200"/>
      <c r="Q65" s="240"/>
    </row>
    <row r="66" spans="2:17" x14ac:dyDescent="0.3">
      <c r="B66" s="235" t="s">
        <v>201</v>
      </c>
      <c r="C66" s="235" t="s">
        <v>204</v>
      </c>
      <c r="D66" s="235" t="s">
        <v>94</v>
      </c>
      <c r="E66" s="236"/>
      <c r="F66" s="236"/>
      <c r="G66" s="237">
        <f ca="1">'MATRIZ COMPLETO PROPOSTA'!H66</f>
        <v>2298072.3965023505</v>
      </c>
      <c r="H66" s="237"/>
      <c r="I66" s="237"/>
      <c r="J66" s="237"/>
      <c r="K66" s="237">
        <f t="shared" ca="1" si="3"/>
        <v>2298072.3965023505</v>
      </c>
      <c r="L66" s="236"/>
      <c r="M66" s="237">
        <f>'MATRIZ COMPLETO PROPOSTA'!BD66+
 'MATRIZ COMPLETO PROPOSTA'!BA66+
 'MATRIZ COMPLETO PROPOSTA'!AX66+
 'MATRIZ COMPLETO PROPOSTA'!AS66+
 'MATRIZ COMPLETO PROPOSTA'!AM66</f>
        <v>777172.62157965475</v>
      </c>
      <c r="N66" s="236"/>
      <c r="O66" s="237"/>
      <c r="P66" s="236"/>
      <c r="Q66" s="243"/>
    </row>
    <row r="67" spans="2:17" x14ac:dyDescent="0.3">
      <c r="B67" s="230" t="s">
        <v>201</v>
      </c>
      <c r="C67" s="230" t="s">
        <v>205</v>
      </c>
      <c r="D67" s="230" t="s">
        <v>94</v>
      </c>
      <c r="G67" s="200">
        <f ca="1">'MATRIZ COMPLETO PROPOSTA'!H67</f>
        <v>4274361.6733734319</v>
      </c>
      <c r="H67" s="200"/>
      <c r="I67" s="200"/>
      <c r="J67" s="200"/>
      <c r="K67" s="200">
        <f t="shared" ca="1" si="3"/>
        <v>4274361.6733734319</v>
      </c>
      <c r="M67" s="200">
        <f>'MATRIZ COMPLETO PROPOSTA'!BD67+
 'MATRIZ COMPLETO PROPOSTA'!BA67+
 'MATRIZ COMPLETO PROPOSTA'!AX67+
 'MATRIZ COMPLETO PROPOSTA'!AS67+
 'MATRIZ COMPLETO PROPOSTA'!AM67</f>
        <v>467336.15286767716</v>
      </c>
      <c r="O67" s="200"/>
      <c r="Q67" s="240"/>
    </row>
    <row r="68" spans="2:17" x14ac:dyDescent="0.3">
      <c r="B68" s="235" t="s">
        <v>201</v>
      </c>
      <c r="C68" s="235" t="s">
        <v>206</v>
      </c>
      <c r="D68" s="235" t="s">
        <v>92</v>
      </c>
      <c r="E68" s="236"/>
      <c r="F68" s="236"/>
      <c r="G68" s="237">
        <f ca="1">'MATRIZ COMPLETO PROPOSTA'!H68</f>
        <v>1555383.0012019204</v>
      </c>
      <c r="H68" s="237"/>
      <c r="I68" s="237"/>
      <c r="J68" s="237"/>
      <c r="K68" s="237">
        <f t="shared" ca="1" si="3"/>
        <v>1555383.0012019204</v>
      </c>
      <c r="L68" s="236"/>
      <c r="M68" s="237">
        <f>'MATRIZ COMPLETO PROPOSTA'!BD68+
 'MATRIZ COMPLETO PROPOSTA'!BA68+
 'MATRIZ COMPLETO PROPOSTA'!AX68+
 'MATRIZ COMPLETO PROPOSTA'!AS68+
 'MATRIZ COMPLETO PROPOSTA'!AM68</f>
        <v>383052.96887018019</v>
      </c>
      <c r="N68" s="236"/>
      <c r="O68" s="237"/>
      <c r="P68" s="236"/>
      <c r="Q68" s="243"/>
    </row>
    <row r="69" spans="2:17" x14ac:dyDescent="0.3">
      <c r="B69" s="230" t="s">
        <v>201</v>
      </c>
      <c r="C69" s="230" t="s">
        <v>207</v>
      </c>
      <c r="D69" s="230" t="s">
        <v>94</v>
      </c>
      <c r="G69" s="200">
        <f ca="1">'MATRIZ COMPLETO PROPOSTA'!H69</f>
        <v>657012.80658943986</v>
      </c>
      <c r="H69" s="200"/>
      <c r="I69" s="200"/>
      <c r="J69" s="200"/>
      <c r="K69" s="200">
        <f t="shared" ca="1" si="3"/>
        <v>657012.80658943986</v>
      </c>
      <c r="M69" s="200">
        <f>'MATRIZ COMPLETO PROPOSTA'!BD69+
 'MATRIZ COMPLETO PROPOSTA'!BA69+
 'MATRIZ COMPLETO PROPOSTA'!AX69+
 'MATRIZ COMPLETO PROPOSTA'!AS69+
 'MATRIZ COMPLETO PROPOSTA'!AM69</f>
        <v>343903.10296743282</v>
      </c>
      <c r="O69" s="200"/>
      <c r="Q69" s="240"/>
    </row>
    <row r="70" spans="2:17" x14ac:dyDescent="0.3">
      <c r="B70" s="235" t="s">
        <v>201</v>
      </c>
      <c r="C70" s="235" t="s">
        <v>208</v>
      </c>
      <c r="D70" s="235" t="s">
        <v>209</v>
      </c>
      <c r="E70" s="236"/>
      <c r="F70" s="236"/>
      <c r="G70" s="237">
        <f ca="1">'MATRIZ COMPLETO PROPOSTA'!H70</f>
        <v>90655.524500833271</v>
      </c>
      <c r="H70" s="237"/>
      <c r="I70" s="237"/>
      <c r="J70" s="237"/>
      <c r="K70" s="237">
        <f t="shared" ca="1" si="3"/>
        <v>90655.524500833271</v>
      </c>
      <c r="L70" s="236"/>
      <c r="M70" s="237">
        <f>'MATRIZ COMPLETO PROPOSTA'!BD70+
 'MATRIZ COMPLETO PROPOSTA'!BA70+
 'MATRIZ COMPLETO PROPOSTA'!AX70+
 'MATRIZ COMPLETO PROPOSTA'!AS70+
 'MATRIZ COMPLETO PROPOSTA'!AM70</f>
        <v>7433.3492652640762</v>
      </c>
      <c r="N70" s="236"/>
      <c r="O70" s="237"/>
      <c r="P70" s="236"/>
      <c r="Q70" s="243"/>
    </row>
    <row r="71" spans="2:17" x14ac:dyDescent="0.3">
      <c r="G71" s="200"/>
      <c r="H71" s="200"/>
      <c r="I71" s="200"/>
      <c r="J71" s="200"/>
      <c r="K71" s="200"/>
      <c r="M71" s="200"/>
      <c r="O71" s="200"/>
      <c r="Q71" s="240"/>
    </row>
    <row r="72" spans="2:17" x14ac:dyDescent="0.3">
      <c r="B72" s="231" t="s">
        <v>210</v>
      </c>
      <c r="C72" s="231" t="s">
        <v>211</v>
      </c>
      <c r="D72" s="232" t="s">
        <v>154</v>
      </c>
      <c r="E72" s="232"/>
      <c r="F72" s="232"/>
      <c r="G72" s="238">
        <f ca="1">SUM(G73:G88)</f>
        <v>31174532.35370798</v>
      </c>
      <c r="H72" s="238">
        <f>'MATRIZ COMPLETO PROPOSTA'!Y72</f>
        <v>266580.8680858888</v>
      </c>
      <c r="I72" s="238">
        <f>'MATRIZ COMPLETO PROPOSTA'!AA72</f>
        <v>0</v>
      </c>
      <c r="J72" s="238">
        <f>'MATRIZ COMPLETO PROPOSTA'!AC72</f>
        <v>7822705.0659482963</v>
      </c>
      <c r="K72" s="238">
        <f ca="1">SUM(G72:J72)</f>
        <v>39263818.287742168</v>
      </c>
      <c r="L72" s="232"/>
      <c r="M72" s="238">
        <f>SUM(M73:M88)</f>
        <v>12097987.476523289</v>
      </c>
      <c r="N72" s="232"/>
      <c r="O72" s="238">
        <f ca="1">K72*'DADOS BASE'!$I$22</f>
        <v>58895.727431613253</v>
      </c>
      <c r="P72" s="232"/>
      <c r="Q72" s="241">
        <f ca="1">SUM(H72:J72)/K72</f>
        <v>0.2060239244882506</v>
      </c>
    </row>
    <row r="73" spans="2:17" x14ac:dyDescent="0.3">
      <c r="B73" s="233" t="s">
        <v>210</v>
      </c>
      <c r="C73" s="234" t="s">
        <v>156</v>
      </c>
      <c r="D73" s="234" t="s">
        <v>157</v>
      </c>
      <c r="E73" s="234"/>
      <c r="F73" s="234"/>
      <c r="G73" s="239">
        <f>('MATRIZ COMPLETO PROPOSTA'!L72+
  'MATRIZ COMPLETO PROPOSTA'!P72*0.25+
  'MATRIZ COMPLETO PROPOSTA'!S72*0.8)
 /
 ('MATRIZ COMPLETO PROPOSTA'!L11+
  'MATRIZ COMPLETO PROPOSTA'!P11*0.25+
  'MATRIZ COMPLETO PROPOSTA'!S11*0.8)
 *
 'DADOS BASE'!$J$93</f>
        <v>3463836.9281897759</v>
      </c>
      <c r="H73" s="239"/>
      <c r="I73" s="239"/>
      <c r="J73" s="239"/>
      <c r="K73" s="239">
        <f t="shared" ref="K73:K88" si="4">J73+I73+H73+G73</f>
        <v>3463836.9281897759</v>
      </c>
      <c r="L73" s="234"/>
      <c r="M73" s="239">
        <f>'MATRIZ COMPLETO PROPOSTA'!BD73+
 'MATRIZ COMPLETO PROPOSTA'!BA73+
 'MATRIZ COMPLETO PROPOSTA'!AX73+
 'MATRIZ COMPLETO PROPOSTA'!AS73+
 'MATRIZ COMPLETO PROPOSTA'!AM73</f>
        <v>0</v>
      </c>
      <c r="N73" s="234"/>
      <c r="O73" s="239"/>
      <c r="P73" s="234"/>
      <c r="Q73" s="242"/>
    </row>
    <row r="74" spans="2:17" x14ac:dyDescent="0.3">
      <c r="B74" s="235" t="s">
        <v>210</v>
      </c>
      <c r="C74" s="235" t="s">
        <v>212</v>
      </c>
      <c r="D74" s="235" t="s">
        <v>92</v>
      </c>
      <c r="E74" s="236"/>
      <c r="F74" s="236"/>
      <c r="G74" s="237">
        <f ca="1">'MATRIZ COMPLETO PROPOSTA'!H74</f>
        <v>1249773.0695465053</v>
      </c>
      <c r="H74" s="237"/>
      <c r="I74" s="237"/>
      <c r="J74" s="237"/>
      <c r="K74" s="237">
        <f t="shared" ca="1" si="4"/>
        <v>1249773.0695465053</v>
      </c>
      <c r="L74" s="236"/>
      <c r="M74" s="237">
        <f>'MATRIZ COMPLETO PROPOSTA'!BD74+
 'MATRIZ COMPLETO PROPOSTA'!BA74+
 'MATRIZ COMPLETO PROPOSTA'!AX74+
 'MATRIZ COMPLETO PROPOSTA'!AS74+
 'MATRIZ COMPLETO PROPOSTA'!AM74</f>
        <v>293575.2199363336</v>
      </c>
      <c r="N74" s="236"/>
      <c r="O74" s="237"/>
      <c r="P74" s="236"/>
      <c r="Q74" s="243"/>
    </row>
    <row r="75" spans="2:17" x14ac:dyDescent="0.3">
      <c r="B75" s="230" t="s">
        <v>210</v>
      </c>
      <c r="C75" s="230" t="s">
        <v>213</v>
      </c>
      <c r="D75" s="230" t="s">
        <v>92</v>
      </c>
      <c r="G75" s="200">
        <f ca="1">'MATRIZ COMPLETO PROPOSTA'!H75</f>
        <v>1849241.1899489779</v>
      </c>
      <c r="H75" s="200"/>
      <c r="I75" s="200"/>
      <c r="J75" s="200"/>
      <c r="K75" s="200">
        <f t="shared" ca="1" si="4"/>
        <v>1849241.1899489779</v>
      </c>
      <c r="M75" s="200">
        <f>'MATRIZ COMPLETO PROPOSTA'!BD75+
 'MATRIZ COMPLETO PROPOSTA'!BA75+
 'MATRIZ COMPLETO PROPOSTA'!AX75+
 'MATRIZ COMPLETO PROPOSTA'!AS75+
 'MATRIZ COMPLETO PROPOSTA'!AM75</f>
        <v>544255.38209051627</v>
      </c>
      <c r="O75" s="200"/>
      <c r="Q75" s="240"/>
    </row>
    <row r="76" spans="2:17" x14ac:dyDescent="0.3">
      <c r="B76" s="235" t="s">
        <v>210</v>
      </c>
      <c r="C76" s="235" t="s">
        <v>214</v>
      </c>
      <c r="D76" s="235" t="s">
        <v>92</v>
      </c>
      <c r="E76" s="236"/>
      <c r="F76" s="236"/>
      <c r="G76" s="237">
        <f ca="1">'MATRIZ COMPLETO PROPOSTA'!H76</f>
        <v>3281684.9713553609</v>
      </c>
      <c r="H76" s="237"/>
      <c r="I76" s="237"/>
      <c r="J76" s="237"/>
      <c r="K76" s="237">
        <f t="shared" ca="1" si="4"/>
        <v>3281684.9713553609</v>
      </c>
      <c r="L76" s="236"/>
      <c r="M76" s="237">
        <f>'MATRIZ COMPLETO PROPOSTA'!BD76+
 'MATRIZ COMPLETO PROPOSTA'!BA76+
 'MATRIZ COMPLETO PROPOSTA'!AX76+
 'MATRIZ COMPLETO PROPOSTA'!AS76+
 'MATRIZ COMPLETO PROPOSTA'!AM76</f>
        <v>1331347.4498985086</v>
      </c>
      <c r="N76" s="236"/>
      <c r="O76" s="237"/>
      <c r="P76" s="236"/>
      <c r="Q76" s="243"/>
    </row>
    <row r="77" spans="2:17" x14ac:dyDescent="0.3">
      <c r="B77" s="230" t="s">
        <v>210</v>
      </c>
      <c r="C77" s="230" t="s">
        <v>215</v>
      </c>
      <c r="D77" s="230" t="s">
        <v>92</v>
      </c>
      <c r="G77" s="200">
        <f ca="1">'MATRIZ COMPLETO PROPOSTA'!H77</f>
        <v>1109216.4202164763</v>
      </c>
      <c r="H77" s="200"/>
      <c r="I77" s="200"/>
      <c r="J77" s="200"/>
      <c r="K77" s="200">
        <f t="shared" ca="1" si="4"/>
        <v>1109216.4202164763</v>
      </c>
      <c r="M77" s="200">
        <f>'MATRIZ COMPLETO PROPOSTA'!BD77+
 'MATRIZ COMPLETO PROPOSTA'!BA77+
 'MATRIZ COMPLETO PROPOSTA'!AX77+
 'MATRIZ COMPLETO PROPOSTA'!AS77+
 'MATRIZ COMPLETO PROPOSTA'!AM77</f>
        <v>386596.83117253962</v>
      </c>
      <c r="O77" s="200"/>
      <c r="Q77" s="240"/>
    </row>
    <row r="78" spans="2:17" x14ac:dyDescent="0.3">
      <c r="B78" s="235" t="s">
        <v>210</v>
      </c>
      <c r="C78" s="235" t="s">
        <v>216</v>
      </c>
      <c r="D78" s="235" t="s">
        <v>92</v>
      </c>
      <c r="E78" s="236"/>
      <c r="F78" s="236"/>
      <c r="G78" s="237">
        <f ca="1">'MATRIZ COMPLETO PROPOSTA'!H78</f>
        <v>3960366.3288215757</v>
      </c>
      <c r="H78" s="237"/>
      <c r="I78" s="237"/>
      <c r="J78" s="237"/>
      <c r="K78" s="237">
        <f t="shared" ca="1" si="4"/>
        <v>3960366.3288215757</v>
      </c>
      <c r="L78" s="236"/>
      <c r="M78" s="237">
        <f>'MATRIZ COMPLETO PROPOSTA'!BD78+
 'MATRIZ COMPLETO PROPOSTA'!BA78+
 'MATRIZ COMPLETO PROPOSTA'!AX78+
 'MATRIZ COMPLETO PROPOSTA'!AS78+
 'MATRIZ COMPLETO PROPOSTA'!AM78</f>
        <v>2504435.9134029183</v>
      </c>
      <c r="N78" s="236"/>
      <c r="O78" s="237"/>
      <c r="P78" s="236"/>
      <c r="Q78" s="243"/>
    </row>
    <row r="79" spans="2:17" x14ac:dyDescent="0.3">
      <c r="B79" s="230" t="s">
        <v>210</v>
      </c>
      <c r="C79" s="230" t="s">
        <v>217</v>
      </c>
      <c r="D79" s="230" t="s">
        <v>92</v>
      </c>
      <c r="G79" s="200">
        <f ca="1">'MATRIZ COMPLETO PROPOSTA'!H79</f>
        <v>1224500.4189009077</v>
      </c>
      <c r="H79" s="200"/>
      <c r="I79" s="200"/>
      <c r="J79" s="200"/>
      <c r="K79" s="200">
        <f t="shared" ca="1" si="4"/>
        <v>1224500.4189009077</v>
      </c>
      <c r="M79" s="200">
        <f>'MATRIZ COMPLETO PROPOSTA'!BD79+
 'MATRIZ COMPLETO PROPOSTA'!BA79+
 'MATRIZ COMPLETO PROPOSTA'!AX79+
 'MATRIZ COMPLETO PROPOSTA'!AS79+
 'MATRIZ COMPLETO PROPOSTA'!AM79</f>
        <v>294468.49526206509</v>
      </c>
      <c r="O79" s="200"/>
      <c r="Q79" s="240"/>
    </row>
    <row r="80" spans="2:17" x14ac:dyDescent="0.3">
      <c r="B80" s="235" t="s">
        <v>210</v>
      </c>
      <c r="C80" s="235" t="s">
        <v>218</v>
      </c>
      <c r="D80" s="235" t="s">
        <v>92</v>
      </c>
      <c r="E80" s="236"/>
      <c r="F80" s="236"/>
      <c r="G80" s="237">
        <f ca="1">'MATRIZ COMPLETO PROPOSTA'!H80</f>
        <v>1951523.727906618</v>
      </c>
      <c r="H80" s="237"/>
      <c r="I80" s="237"/>
      <c r="J80" s="237"/>
      <c r="K80" s="237">
        <f t="shared" ca="1" si="4"/>
        <v>1951523.727906618</v>
      </c>
      <c r="L80" s="236"/>
      <c r="M80" s="237">
        <f>'MATRIZ COMPLETO PROPOSTA'!BD80+
 'MATRIZ COMPLETO PROPOSTA'!BA80+
 'MATRIZ COMPLETO PROPOSTA'!AX80+
 'MATRIZ COMPLETO PROPOSTA'!AS80+
 'MATRIZ COMPLETO PROPOSTA'!AM80</f>
        <v>666447.88691359793</v>
      </c>
      <c r="N80" s="236"/>
      <c r="O80" s="237"/>
      <c r="P80" s="236"/>
      <c r="Q80" s="243"/>
    </row>
    <row r="81" spans="2:17" x14ac:dyDescent="0.3">
      <c r="B81" s="230" t="s">
        <v>210</v>
      </c>
      <c r="C81" s="230" t="s">
        <v>219</v>
      </c>
      <c r="D81" s="230" t="s">
        <v>92</v>
      </c>
      <c r="G81" s="200">
        <f ca="1">'MATRIZ COMPLETO PROPOSTA'!H81</f>
        <v>3487449.8072951878</v>
      </c>
      <c r="H81" s="200"/>
      <c r="I81" s="200"/>
      <c r="J81" s="200"/>
      <c r="K81" s="200">
        <f t="shared" ca="1" si="4"/>
        <v>3487449.8072951878</v>
      </c>
      <c r="M81" s="200">
        <f>'MATRIZ COMPLETO PROPOSTA'!BD81+
 'MATRIZ COMPLETO PROPOSTA'!BA81+
 'MATRIZ COMPLETO PROPOSTA'!AX81+
 'MATRIZ COMPLETO PROPOSTA'!AS81+
 'MATRIZ COMPLETO PROPOSTA'!AM81</f>
        <v>2026780.4031099156</v>
      </c>
      <c r="O81" s="200"/>
      <c r="Q81" s="240"/>
    </row>
    <row r="82" spans="2:17" x14ac:dyDescent="0.3">
      <c r="B82" s="235" t="s">
        <v>210</v>
      </c>
      <c r="C82" s="235" t="s">
        <v>220</v>
      </c>
      <c r="D82" s="235" t="s">
        <v>92</v>
      </c>
      <c r="E82" s="236"/>
      <c r="F82" s="236"/>
      <c r="G82" s="237">
        <f ca="1">'MATRIZ COMPLETO PROPOSTA'!H82</f>
        <v>2633529.7192625115</v>
      </c>
      <c r="H82" s="237"/>
      <c r="I82" s="237"/>
      <c r="J82" s="237"/>
      <c r="K82" s="237">
        <f t="shared" ca="1" si="4"/>
        <v>2633529.7192625115</v>
      </c>
      <c r="L82" s="236"/>
      <c r="M82" s="237">
        <f>'MATRIZ COMPLETO PROPOSTA'!BD82+
 'MATRIZ COMPLETO PROPOSTA'!BA82+
 'MATRIZ COMPLETO PROPOSTA'!AX82+
 'MATRIZ COMPLETO PROPOSTA'!AS82+
 'MATRIZ COMPLETO PROPOSTA'!AM82</f>
        <v>692867.94922582258</v>
      </c>
      <c r="N82" s="236"/>
      <c r="O82" s="237"/>
      <c r="P82" s="236"/>
      <c r="Q82" s="243"/>
    </row>
    <row r="83" spans="2:17" x14ac:dyDescent="0.3">
      <c r="B83" s="230" t="s">
        <v>210</v>
      </c>
      <c r="C83" s="230" t="s">
        <v>221</v>
      </c>
      <c r="D83" s="230" t="s">
        <v>92</v>
      </c>
      <c r="G83" s="200">
        <f ca="1">'MATRIZ COMPLETO PROPOSTA'!H83</f>
        <v>1052739.3707375058</v>
      </c>
      <c r="H83" s="200"/>
      <c r="I83" s="200"/>
      <c r="J83" s="200"/>
      <c r="K83" s="200">
        <f t="shared" ca="1" si="4"/>
        <v>1052739.3707375058</v>
      </c>
      <c r="M83" s="200">
        <f>'MATRIZ COMPLETO PROPOSTA'!BD83+
 'MATRIZ COMPLETO PROPOSTA'!BA83+
 'MATRIZ COMPLETO PROPOSTA'!AX83+
 'MATRIZ COMPLETO PROPOSTA'!AS83+
 'MATRIZ COMPLETO PROPOSTA'!AM83</f>
        <v>300655.16519786394</v>
      </c>
      <c r="O83" s="200"/>
      <c r="Q83" s="240"/>
    </row>
    <row r="84" spans="2:17" x14ac:dyDescent="0.3">
      <c r="B84" s="235" t="s">
        <v>210</v>
      </c>
      <c r="C84" s="235" t="s">
        <v>222</v>
      </c>
      <c r="D84" s="235" t="s">
        <v>92</v>
      </c>
      <c r="E84" s="236"/>
      <c r="F84" s="236"/>
      <c r="G84" s="237">
        <f ca="1">'MATRIZ COMPLETO PROPOSTA'!H84</f>
        <v>1672806.1588168563</v>
      </c>
      <c r="H84" s="237"/>
      <c r="I84" s="237"/>
      <c r="J84" s="237"/>
      <c r="K84" s="237">
        <f t="shared" ca="1" si="4"/>
        <v>1672806.1588168563</v>
      </c>
      <c r="L84" s="236"/>
      <c r="M84" s="237">
        <f>'MATRIZ COMPLETO PROPOSTA'!BD84+
 'MATRIZ COMPLETO PROPOSTA'!BA84+
 'MATRIZ COMPLETO PROPOSTA'!AX84+
 'MATRIZ COMPLETO PROPOSTA'!AS84+
 'MATRIZ COMPLETO PROPOSTA'!AM84</f>
        <v>477870.95478323684</v>
      </c>
      <c r="N84" s="236"/>
      <c r="O84" s="237"/>
      <c r="P84" s="236"/>
      <c r="Q84" s="243"/>
    </row>
    <row r="85" spans="2:17" x14ac:dyDescent="0.3">
      <c r="B85" s="230" t="s">
        <v>210</v>
      </c>
      <c r="C85" s="230" t="s">
        <v>223</v>
      </c>
      <c r="D85" s="230" t="s">
        <v>92</v>
      </c>
      <c r="G85" s="200">
        <f ca="1">'MATRIZ COMPLETO PROPOSTA'!H85</f>
        <v>1147681.4077089324</v>
      </c>
      <c r="H85" s="200"/>
      <c r="I85" s="200"/>
      <c r="J85" s="200"/>
      <c r="K85" s="200">
        <f t="shared" ca="1" si="4"/>
        <v>1147681.4077089324</v>
      </c>
      <c r="M85" s="200">
        <f>'MATRIZ COMPLETO PROPOSTA'!BD85+
 'MATRIZ COMPLETO PROPOSTA'!BA85+
 'MATRIZ COMPLETO PROPOSTA'!AX85+
 'MATRIZ COMPLETO PROPOSTA'!AS85+
 'MATRIZ COMPLETO PROPOSTA'!AM85</f>
        <v>1721503.2679635794</v>
      </c>
      <c r="O85" s="200"/>
      <c r="Q85" s="240"/>
    </row>
    <row r="86" spans="2:17" x14ac:dyDescent="0.3">
      <c r="B86" s="235" t="s">
        <v>210</v>
      </c>
      <c r="C86" s="235" t="s">
        <v>224</v>
      </c>
      <c r="D86" s="235" t="s">
        <v>92</v>
      </c>
      <c r="E86" s="236"/>
      <c r="F86" s="236"/>
      <c r="G86" s="237">
        <f ca="1">'MATRIZ COMPLETO PROPOSTA'!H86</f>
        <v>2626115.5649971804</v>
      </c>
      <c r="H86" s="237"/>
      <c r="I86" s="237"/>
      <c r="J86" s="237"/>
      <c r="K86" s="237">
        <f t="shared" ca="1" si="4"/>
        <v>2626115.5649971804</v>
      </c>
      <c r="L86" s="236"/>
      <c r="M86" s="237">
        <f>'MATRIZ COMPLETO PROPOSTA'!BD86+
 'MATRIZ COMPLETO PROPOSTA'!BA86+
 'MATRIZ COMPLETO PROPOSTA'!AX86+
 'MATRIZ COMPLETO PROPOSTA'!AS86+
 'MATRIZ COMPLETO PROPOSTA'!AM86</f>
        <v>696592.16241258662</v>
      </c>
      <c r="N86" s="236"/>
      <c r="O86" s="237"/>
      <c r="P86" s="236"/>
      <c r="Q86" s="243"/>
    </row>
    <row r="87" spans="2:17" x14ac:dyDescent="0.3">
      <c r="B87" s="230" t="s">
        <v>210</v>
      </c>
      <c r="C87" s="230" t="s">
        <v>225</v>
      </c>
      <c r="D87" s="230" t="s">
        <v>92</v>
      </c>
      <c r="G87" s="200">
        <f ca="1">'MATRIZ COMPLETO PROPOSTA'!H87</f>
        <v>455879.6618245116</v>
      </c>
      <c r="H87" s="200"/>
      <c r="I87" s="200"/>
      <c r="J87" s="200"/>
      <c r="K87" s="200">
        <f t="shared" ca="1" si="4"/>
        <v>455879.6618245116</v>
      </c>
      <c r="M87" s="200">
        <f>'MATRIZ COMPLETO PROPOSTA'!BD87+
 'MATRIZ COMPLETO PROPOSTA'!BA87+
 'MATRIZ COMPLETO PROPOSTA'!AX87+
 'MATRIZ COMPLETO PROPOSTA'!AS87+
 'MATRIZ COMPLETO PROPOSTA'!AM87</f>
        <v>158636.21877196495</v>
      </c>
      <c r="O87" s="200"/>
      <c r="Q87" s="240"/>
    </row>
    <row r="88" spans="2:17" x14ac:dyDescent="0.3">
      <c r="B88" s="235" t="s">
        <v>210</v>
      </c>
      <c r="C88" s="235" t="s">
        <v>226</v>
      </c>
      <c r="D88" s="235" t="s">
        <v>209</v>
      </c>
      <c r="E88" s="236"/>
      <c r="F88" s="236"/>
      <c r="G88" s="237">
        <f ca="1">'MATRIZ COMPLETO PROPOSTA'!H88</f>
        <v>8187.6081790992521</v>
      </c>
      <c r="H88" s="237"/>
      <c r="I88" s="237"/>
      <c r="J88" s="237"/>
      <c r="K88" s="237">
        <f t="shared" ca="1" si="4"/>
        <v>8187.6081790992521</v>
      </c>
      <c r="L88" s="236"/>
      <c r="M88" s="237">
        <f>'MATRIZ COMPLETO PROPOSTA'!BD88+
 'MATRIZ COMPLETO PROPOSTA'!BA88+
 'MATRIZ COMPLETO PROPOSTA'!AX88+
 'MATRIZ COMPLETO PROPOSTA'!AS88+
 'MATRIZ COMPLETO PROPOSTA'!AM88</f>
        <v>1954.1763818387697</v>
      </c>
      <c r="N88" s="236"/>
      <c r="O88" s="237"/>
      <c r="P88" s="236"/>
      <c r="Q88" s="243"/>
    </row>
    <row r="89" spans="2:17" x14ac:dyDescent="0.3">
      <c r="G89" s="200"/>
      <c r="H89" s="200"/>
      <c r="I89" s="200"/>
      <c r="J89" s="200"/>
      <c r="K89" s="200"/>
      <c r="M89" s="200"/>
      <c r="O89" s="200"/>
      <c r="Q89" s="240"/>
    </row>
    <row r="90" spans="2:17" x14ac:dyDescent="0.3">
      <c r="B90" s="231" t="s">
        <v>210</v>
      </c>
      <c r="C90" s="231" t="s">
        <v>227</v>
      </c>
      <c r="D90" s="232" t="s">
        <v>154</v>
      </c>
      <c r="E90" s="232"/>
      <c r="F90" s="232"/>
      <c r="G90" s="238">
        <f ca="1">SUM(G91:G113)</f>
        <v>45891729.278383076</v>
      </c>
      <c r="H90" s="238">
        <f>'MATRIZ COMPLETO PROPOSTA'!Y90</f>
        <v>255123.23765239786</v>
      </c>
      <c r="I90" s="238">
        <f>'MATRIZ COMPLETO PROPOSTA'!AA90</f>
        <v>979004.60093278682</v>
      </c>
      <c r="J90" s="238">
        <f>'MATRIZ COMPLETO PROPOSTA'!AC90</f>
        <v>2826692.9250566955</v>
      </c>
      <c r="K90" s="238">
        <f ca="1">SUM(G90:J90)</f>
        <v>49952550.042024955</v>
      </c>
      <c r="L90" s="232"/>
      <c r="M90" s="238">
        <f>SUM(M91:M113)</f>
        <v>13555902.422322007</v>
      </c>
      <c r="N90" s="232"/>
      <c r="O90" s="238">
        <f ca="1">K90*'DADOS BASE'!$I$22</f>
        <v>74928.825063037439</v>
      </c>
      <c r="P90" s="232"/>
      <c r="Q90" s="241">
        <f ca="1">SUM(H90:J90)/K90</f>
        <v>8.1293562795603458E-2</v>
      </c>
    </row>
    <row r="91" spans="2:17" x14ac:dyDescent="0.3">
      <c r="B91" s="233" t="s">
        <v>210</v>
      </c>
      <c r="C91" s="234" t="s">
        <v>156</v>
      </c>
      <c r="D91" s="234" t="s">
        <v>157</v>
      </c>
      <c r="E91" s="234"/>
      <c r="F91" s="234"/>
      <c r="G91" s="239">
        <f>('MATRIZ COMPLETO PROPOSTA'!L90+
  'MATRIZ COMPLETO PROPOSTA'!P90*0.25+
  'MATRIZ COMPLETO PROPOSTA'!S90*0.8)
 /
 ('MATRIZ COMPLETO PROPOSTA'!L11+
  'MATRIZ COMPLETO PROPOSTA'!P11*0.25+
  'MATRIZ COMPLETO PROPOSTA'!S11*0.8)
 *
 'DADOS BASE'!$J$93</f>
        <v>5099081.0309314542</v>
      </c>
      <c r="H91" s="239"/>
      <c r="I91" s="239"/>
      <c r="J91" s="239"/>
      <c r="K91" s="239">
        <f t="shared" ref="K91:K113" si="5">J91+I91+H91+G91</f>
        <v>5099081.0309314542</v>
      </c>
      <c r="L91" s="234"/>
      <c r="M91" s="239">
        <f>'MATRIZ COMPLETO PROPOSTA'!BD91+
 'MATRIZ COMPLETO PROPOSTA'!BA91+
 'MATRIZ COMPLETO PROPOSTA'!AX91+
 'MATRIZ COMPLETO PROPOSTA'!AS91+
 'MATRIZ COMPLETO PROPOSTA'!AM91</f>
        <v>0</v>
      </c>
      <c r="N91" s="234"/>
      <c r="O91" s="239"/>
      <c r="P91" s="234"/>
      <c r="Q91" s="242"/>
    </row>
    <row r="92" spans="2:17" x14ac:dyDescent="0.3">
      <c r="B92" s="235" t="s">
        <v>210</v>
      </c>
      <c r="C92" s="235" t="s">
        <v>228</v>
      </c>
      <c r="D92" s="235" t="s">
        <v>96</v>
      </c>
      <c r="E92" s="236"/>
      <c r="F92" s="236"/>
      <c r="G92" s="237">
        <f ca="1">'MATRIZ COMPLETO PROPOSTA'!H92</f>
        <v>109796.63693736945</v>
      </c>
      <c r="H92" s="237"/>
      <c r="I92" s="237"/>
      <c r="J92" s="237"/>
      <c r="K92" s="237">
        <f t="shared" ca="1" si="5"/>
        <v>109796.63693736945</v>
      </c>
      <c r="L92" s="236"/>
      <c r="M92" s="237">
        <f>'MATRIZ COMPLETO PROPOSTA'!BD92+
 'MATRIZ COMPLETO PROPOSTA'!BA92+
 'MATRIZ COMPLETO PROPOSTA'!AX92+
 'MATRIZ COMPLETO PROPOSTA'!AS92+
 'MATRIZ COMPLETO PROPOSTA'!AM92</f>
        <v>46875.997402347661</v>
      </c>
      <c r="N92" s="236"/>
      <c r="O92" s="237"/>
      <c r="P92" s="236"/>
      <c r="Q92" s="243"/>
    </row>
    <row r="93" spans="2:17" x14ac:dyDescent="0.3">
      <c r="B93" s="230" t="s">
        <v>210</v>
      </c>
      <c r="C93" s="230" t="s">
        <v>229</v>
      </c>
      <c r="D93" s="230" t="s">
        <v>94</v>
      </c>
      <c r="G93" s="200">
        <f ca="1">'MATRIZ COMPLETO PROPOSTA'!H93</f>
        <v>2303022.6303341347</v>
      </c>
      <c r="H93" s="200"/>
      <c r="I93" s="200"/>
      <c r="J93" s="200"/>
      <c r="K93" s="200">
        <f t="shared" ca="1" si="5"/>
        <v>2303022.6303341347</v>
      </c>
      <c r="M93" s="200">
        <f>'MATRIZ COMPLETO PROPOSTA'!BD93+
 'MATRIZ COMPLETO PROPOSTA'!BA93+
 'MATRIZ COMPLETO PROPOSTA'!AX93+
 'MATRIZ COMPLETO PROPOSTA'!AS93+
 'MATRIZ COMPLETO PROPOSTA'!AM93</f>
        <v>684138.6906541246</v>
      </c>
      <c r="O93" s="200"/>
      <c r="Q93" s="240"/>
    </row>
    <row r="94" spans="2:17" x14ac:dyDescent="0.3">
      <c r="B94" s="235" t="s">
        <v>210</v>
      </c>
      <c r="C94" s="235" t="s">
        <v>230</v>
      </c>
      <c r="D94" s="235" t="s">
        <v>94</v>
      </c>
      <c r="E94" s="236"/>
      <c r="F94" s="236"/>
      <c r="G94" s="237">
        <f ca="1">'MATRIZ COMPLETO PROPOSTA'!H94</f>
        <v>1162691.5175941191</v>
      </c>
      <c r="H94" s="237"/>
      <c r="I94" s="237"/>
      <c r="J94" s="237"/>
      <c r="K94" s="237">
        <f t="shared" ca="1" si="5"/>
        <v>1162691.5175941191</v>
      </c>
      <c r="L94" s="236"/>
      <c r="M94" s="237">
        <f>'MATRIZ COMPLETO PROPOSTA'!BD94+
 'MATRIZ COMPLETO PROPOSTA'!BA94+
 'MATRIZ COMPLETO PROPOSTA'!AX94+
 'MATRIZ COMPLETO PROPOSTA'!AS94+
 'MATRIZ COMPLETO PROPOSTA'!AM94</f>
        <v>398671.68679278315</v>
      </c>
      <c r="N94" s="236"/>
      <c r="O94" s="237"/>
      <c r="P94" s="236"/>
      <c r="Q94" s="243"/>
    </row>
    <row r="95" spans="2:17" x14ac:dyDescent="0.3">
      <c r="B95" s="230" t="s">
        <v>210</v>
      </c>
      <c r="C95" s="230" t="s">
        <v>231</v>
      </c>
      <c r="D95" s="230" t="s">
        <v>94</v>
      </c>
      <c r="G95" s="200">
        <f ca="1">'MATRIZ COMPLETO PROPOSTA'!H95</f>
        <v>1206406.0083002616</v>
      </c>
      <c r="H95" s="200"/>
      <c r="I95" s="200"/>
      <c r="J95" s="200"/>
      <c r="K95" s="200">
        <f t="shared" ca="1" si="5"/>
        <v>1206406.0083002616</v>
      </c>
      <c r="M95" s="200">
        <f>'MATRIZ COMPLETO PROPOSTA'!BD95+
 'MATRIZ COMPLETO PROPOSTA'!BA95+
 'MATRIZ COMPLETO PROPOSTA'!AX95+
 'MATRIZ COMPLETO PROPOSTA'!AS95+
 'MATRIZ COMPLETO PROPOSTA'!AM95</f>
        <v>322029.01869616256</v>
      </c>
      <c r="O95" s="200"/>
      <c r="Q95" s="240"/>
    </row>
    <row r="96" spans="2:17" x14ac:dyDescent="0.3">
      <c r="B96" s="235" t="s">
        <v>210</v>
      </c>
      <c r="C96" s="235" t="s">
        <v>232</v>
      </c>
      <c r="D96" s="235" t="s">
        <v>94</v>
      </c>
      <c r="E96" s="236"/>
      <c r="F96" s="236"/>
      <c r="G96" s="237">
        <f ca="1">'MATRIZ COMPLETO PROPOSTA'!H96</f>
        <v>666808.69843945384</v>
      </c>
      <c r="H96" s="237"/>
      <c r="I96" s="237"/>
      <c r="J96" s="237"/>
      <c r="K96" s="237">
        <f t="shared" ca="1" si="5"/>
        <v>666808.69843945384</v>
      </c>
      <c r="L96" s="236"/>
      <c r="M96" s="237">
        <f>'MATRIZ COMPLETO PROPOSTA'!BD96+
 'MATRIZ COMPLETO PROPOSTA'!BA96+
 'MATRIZ COMPLETO PROPOSTA'!AX96+
 'MATRIZ COMPLETO PROPOSTA'!AS96+
 'MATRIZ COMPLETO PROPOSTA'!AM96</f>
        <v>303974.45776850625</v>
      </c>
      <c r="N96" s="236"/>
      <c r="O96" s="237"/>
      <c r="P96" s="236"/>
      <c r="Q96" s="243"/>
    </row>
    <row r="97" spans="2:17" x14ac:dyDescent="0.3">
      <c r="B97" s="230" t="s">
        <v>210</v>
      </c>
      <c r="C97" s="230" t="s">
        <v>233</v>
      </c>
      <c r="D97" s="230" t="s">
        <v>94</v>
      </c>
      <c r="G97" s="200">
        <f ca="1">'MATRIZ COMPLETO PROPOSTA'!H97</f>
        <v>2042631.4925383043</v>
      </c>
      <c r="H97" s="200"/>
      <c r="I97" s="200"/>
      <c r="J97" s="200"/>
      <c r="K97" s="200">
        <f t="shared" ca="1" si="5"/>
        <v>2042631.4925383043</v>
      </c>
      <c r="M97" s="200">
        <f>'MATRIZ COMPLETO PROPOSTA'!BD97+
 'MATRIZ COMPLETO PROPOSTA'!BA97+
 'MATRIZ COMPLETO PROPOSTA'!AX97+
 'MATRIZ COMPLETO PROPOSTA'!AS97+
 'MATRIZ COMPLETO PROPOSTA'!AM97</f>
        <v>834262.28215026972</v>
      </c>
      <c r="O97" s="200"/>
      <c r="Q97" s="240"/>
    </row>
    <row r="98" spans="2:17" x14ac:dyDescent="0.3">
      <c r="B98" s="235" t="s">
        <v>210</v>
      </c>
      <c r="C98" s="235" t="s">
        <v>234</v>
      </c>
      <c r="D98" s="235" t="s">
        <v>94</v>
      </c>
      <c r="E98" s="236"/>
      <c r="F98" s="236"/>
      <c r="G98" s="237">
        <f ca="1">'MATRIZ COMPLETO PROPOSTA'!H98</f>
        <v>1150134.5404203809</v>
      </c>
      <c r="H98" s="237"/>
      <c r="I98" s="237"/>
      <c r="J98" s="237"/>
      <c r="K98" s="237">
        <f t="shared" ca="1" si="5"/>
        <v>1150134.5404203809</v>
      </c>
      <c r="L98" s="236"/>
      <c r="M98" s="237">
        <f>'MATRIZ COMPLETO PROPOSTA'!BD98+
 'MATRIZ COMPLETO PROPOSTA'!BA98+
 'MATRIZ COMPLETO PROPOSTA'!AX98+
 'MATRIZ COMPLETO PROPOSTA'!AS98+
 'MATRIZ COMPLETO PROPOSTA'!AM98</f>
        <v>435524.1764185995</v>
      </c>
      <c r="N98" s="236"/>
      <c r="O98" s="237"/>
      <c r="P98" s="236"/>
      <c r="Q98" s="243"/>
    </row>
    <row r="99" spans="2:17" x14ac:dyDescent="0.3">
      <c r="B99" s="230" t="s">
        <v>210</v>
      </c>
      <c r="C99" s="230" t="s">
        <v>235</v>
      </c>
      <c r="D99" s="230" t="s">
        <v>94</v>
      </c>
      <c r="G99" s="200">
        <f ca="1">'MATRIZ COMPLETO PROPOSTA'!H99</f>
        <v>1690140.7372690272</v>
      </c>
      <c r="H99" s="200"/>
      <c r="I99" s="200"/>
      <c r="J99" s="200"/>
      <c r="K99" s="200">
        <f t="shared" ca="1" si="5"/>
        <v>1690140.7372690272</v>
      </c>
      <c r="M99" s="200">
        <f>'MATRIZ COMPLETO PROPOSTA'!BD99+
 'MATRIZ COMPLETO PROPOSTA'!BA99+
 'MATRIZ COMPLETO PROPOSTA'!AX99+
 'MATRIZ COMPLETO PROPOSTA'!AS99+
 'MATRIZ COMPLETO PROPOSTA'!AM99</f>
        <v>498982.26367942797</v>
      </c>
      <c r="O99" s="200"/>
      <c r="Q99" s="240"/>
    </row>
    <row r="100" spans="2:17" x14ac:dyDescent="0.3">
      <c r="B100" s="235" t="s">
        <v>210</v>
      </c>
      <c r="C100" s="235" t="s">
        <v>236</v>
      </c>
      <c r="D100" s="235" t="s">
        <v>94</v>
      </c>
      <c r="E100" s="236"/>
      <c r="F100" s="236"/>
      <c r="G100" s="237">
        <f ca="1">'MATRIZ COMPLETO PROPOSTA'!H100</f>
        <v>1243311.7038838086</v>
      </c>
      <c r="H100" s="237"/>
      <c r="I100" s="237"/>
      <c r="J100" s="237"/>
      <c r="K100" s="237">
        <f t="shared" ca="1" si="5"/>
        <v>1243311.7038838086</v>
      </c>
      <c r="L100" s="236"/>
      <c r="M100" s="237">
        <f>'MATRIZ COMPLETO PROPOSTA'!BD100+
 'MATRIZ COMPLETO PROPOSTA'!BA100+
 'MATRIZ COMPLETO PROPOSTA'!AX100+
 'MATRIZ COMPLETO PROPOSTA'!AS100+
 'MATRIZ COMPLETO PROPOSTA'!AM100</f>
        <v>558591.72306628875</v>
      </c>
      <c r="N100" s="236"/>
      <c r="O100" s="237"/>
      <c r="P100" s="236"/>
      <c r="Q100" s="243"/>
    </row>
    <row r="101" spans="2:17" x14ac:dyDescent="0.3">
      <c r="B101" s="230" t="s">
        <v>210</v>
      </c>
      <c r="C101" s="230" t="s">
        <v>237</v>
      </c>
      <c r="D101" s="230" t="s">
        <v>94</v>
      </c>
      <c r="G101" s="200">
        <f ca="1">'MATRIZ COMPLETO PROPOSTA'!H101</f>
        <v>1176247.1581192778</v>
      </c>
      <c r="H101" s="200"/>
      <c r="I101" s="200"/>
      <c r="J101" s="200"/>
      <c r="K101" s="200">
        <f t="shared" ca="1" si="5"/>
        <v>1176247.1581192778</v>
      </c>
      <c r="M101" s="200">
        <f>'MATRIZ COMPLETO PROPOSTA'!BD101+
 'MATRIZ COMPLETO PROPOSTA'!BA101+
 'MATRIZ COMPLETO PROPOSTA'!AX101+
 'MATRIZ COMPLETO PROPOSTA'!AS101+
 'MATRIZ COMPLETO PROPOSTA'!AM101</f>
        <v>527363.33606706862</v>
      </c>
      <c r="O101" s="200"/>
      <c r="Q101" s="240"/>
    </row>
    <row r="102" spans="2:17" x14ac:dyDescent="0.3">
      <c r="B102" s="235" t="s">
        <v>210</v>
      </c>
      <c r="C102" s="235" t="s">
        <v>238</v>
      </c>
      <c r="D102" s="235" t="s">
        <v>94</v>
      </c>
      <c r="E102" s="236"/>
      <c r="F102" s="236"/>
      <c r="G102" s="237">
        <f ca="1">'MATRIZ COMPLETO PROPOSTA'!H102</f>
        <v>1363368.134230121</v>
      </c>
      <c r="H102" s="237"/>
      <c r="I102" s="237"/>
      <c r="J102" s="237"/>
      <c r="K102" s="237">
        <f t="shared" ca="1" si="5"/>
        <v>1363368.134230121</v>
      </c>
      <c r="L102" s="236"/>
      <c r="M102" s="237">
        <f>'MATRIZ COMPLETO PROPOSTA'!BD102+
 'MATRIZ COMPLETO PROPOSTA'!BA102+
 'MATRIZ COMPLETO PROPOSTA'!AX102+
 'MATRIZ COMPLETO PROPOSTA'!AS102+
 'MATRIZ COMPLETO PROPOSTA'!AM102</f>
        <v>508529.69858947466</v>
      </c>
      <c r="N102" s="236"/>
      <c r="O102" s="237"/>
      <c r="P102" s="236"/>
      <c r="Q102" s="243"/>
    </row>
    <row r="103" spans="2:17" x14ac:dyDescent="0.3">
      <c r="B103" s="230" t="s">
        <v>210</v>
      </c>
      <c r="C103" s="230" t="s">
        <v>239</v>
      </c>
      <c r="D103" s="230" t="s">
        <v>94</v>
      </c>
      <c r="G103" s="200">
        <f ca="1">'MATRIZ COMPLETO PROPOSTA'!H103</f>
        <v>784345.98151262663</v>
      </c>
      <c r="H103" s="200"/>
      <c r="I103" s="200"/>
      <c r="J103" s="200"/>
      <c r="K103" s="200">
        <f t="shared" ca="1" si="5"/>
        <v>784345.98151262663</v>
      </c>
      <c r="M103" s="200">
        <f>'MATRIZ COMPLETO PROPOSTA'!BD103+
 'MATRIZ COMPLETO PROPOSTA'!BA103+
 'MATRIZ COMPLETO PROPOSTA'!AX103+
 'MATRIZ COMPLETO PROPOSTA'!AS103+
 'MATRIZ COMPLETO PROPOSTA'!AM103</f>
        <v>303572.49846333836</v>
      </c>
      <c r="O103" s="200"/>
      <c r="Q103" s="240"/>
    </row>
    <row r="104" spans="2:17" x14ac:dyDescent="0.3">
      <c r="B104" s="235" t="s">
        <v>210</v>
      </c>
      <c r="C104" s="235" t="s">
        <v>240</v>
      </c>
      <c r="D104" s="235" t="s">
        <v>94</v>
      </c>
      <c r="E104" s="236"/>
      <c r="F104" s="236"/>
      <c r="G104" s="237">
        <f ca="1">'MATRIZ COMPLETO PROPOSTA'!H104</f>
        <v>510303.12365616532</v>
      </c>
      <c r="H104" s="237"/>
      <c r="I104" s="237"/>
      <c r="J104" s="237"/>
      <c r="K104" s="237">
        <f t="shared" ca="1" si="5"/>
        <v>510303.12365616532</v>
      </c>
      <c r="L104" s="236"/>
      <c r="M104" s="237">
        <f>'MATRIZ COMPLETO PROPOSTA'!BD104+
 'MATRIZ COMPLETO PROPOSTA'!BA104+
 'MATRIZ COMPLETO PROPOSTA'!AX104+
 'MATRIZ COMPLETO PROPOSTA'!AS104+
 'MATRIZ COMPLETO PROPOSTA'!AM104</f>
        <v>185481.05514089298</v>
      </c>
      <c r="N104" s="236"/>
      <c r="O104" s="237"/>
      <c r="P104" s="236"/>
      <c r="Q104" s="243"/>
    </row>
    <row r="105" spans="2:17" x14ac:dyDescent="0.3">
      <c r="B105" s="230" t="s">
        <v>210</v>
      </c>
      <c r="C105" s="230" t="s">
        <v>241</v>
      </c>
      <c r="D105" s="230" t="s">
        <v>94</v>
      </c>
      <c r="G105" s="200">
        <f ca="1">'MATRIZ COMPLETO PROPOSTA'!H105</f>
        <v>1250481.9272022978</v>
      </c>
      <c r="H105" s="200"/>
      <c r="I105" s="200"/>
      <c r="J105" s="200"/>
      <c r="K105" s="200">
        <f t="shared" ca="1" si="5"/>
        <v>1250481.9272022978</v>
      </c>
      <c r="M105" s="200">
        <f>'MATRIZ COMPLETO PROPOSTA'!BD105+
 'MATRIZ COMPLETO PROPOSTA'!BA105+
 'MATRIZ COMPLETO PROPOSTA'!AX105+
 'MATRIZ COMPLETO PROPOSTA'!AS105+
 'MATRIZ COMPLETO PROPOSTA'!AM105</f>
        <v>478412.2057423176</v>
      </c>
      <c r="O105" s="200"/>
      <c r="Q105" s="240"/>
    </row>
    <row r="106" spans="2:17" x14ac:dyDescent="0.3">
      <c r="B106" s="235" t="s">
        <v>210</v>
      </c>
      <c r="C106" s="235" t="s">
        <v>242</v>
      </c>
      <c r="D106" s="235" t="s">
        <v>94</v>
      </c>
      <c r="E106" s="236"/>
      <c r="F106" s="236"/>
      <c r="G106" s="237">
        <f ca="1">'MATRIZ COMPLETO PROPOSTA'!H106</f>
        <v>1877290.5641702893</v>
      </c>
      <c r="H106" s="237"/>
      <c r="I106" s="237"/>
      <c r="J106" s="237"/>
      <c r="K106" s="237">
        <f t="shared" ca="1" si="5"/>
        <v>1877290.5641702893</v>
      </c>
      <c r="L106" s="236"/>
      <c r="M106" s="237">
        <f>'MATRIZ COMPLETO PROPOSTA'!BD106+
 'MATRIZ COMPLETO PROPOSTA'!BA106+
 'MATRIZ COMPLETO PROPOSTA'!AX106+
 'MATRIZ COMPLETO PROPOSTA'!AS106+
 'MATRIZ COMPLETO PROPOSTA'!AM106</f>
        <v>685525.77904520149</v>
      </c>
      <c r="N106" s="236"/>
      <c r="O106" s="237"/>
      <c r="P106" s="236"/>
      <c r="Q106" s="243"/>
    </row>
    <row r="107" spans="2:17" x14ac:dyDescent="0.3">
      <c r="B107" s="230" t="s">
        <v>210</v>
      </c>
      <c r="C107" s="230" t="s">
        <v>243</v>
      </c>
      <c r="D107" s="230" t="s">
        <v>94</v>
      </c>
      <c r="G107" s="200">
        <f ca="1">'MATRIZ COMPLETO PROPOSTA'!H107</f>
        <v>11939459.834835049</v>
      </c>
      <c r="H107" s="200"/>
      <c r="I107" s="200"/>
      <c r="J107" s="200"/>
      <c r="K107" s="200">
        <f t="shared" ca="1" si="5"/>
        <v>11939459.834835049</v>
      </c>
      <c r="M107" s="200">
        <f>'MATRIZ COMPLETO PROPOSTA'!BD107+
 'MATRIZ COMPLETO PROPOSTA'!BA107+
 'MATRIZ COMPLETO PROPOSTA'!AX107+
 'MATRIZ COMPLETO PROPOSTA'!AS107+
 'MATRIZ COMPLETO PROPOSTA'!AM107</f>
        <v>2879187.5609256057</v>
      </c>
      <c r="O107" s="200"/>
      <c r="Q107" s="240"/>
    </row>
    <row r="108" spans="2:17" x14ac:dyDescent="0.3">
      <c r="B108" s="235" t="s">
        <v>210</v>
      </c>
      <c r="C108" s="235" t="s">
        <v>244</v>
      </c>
      <c r="D108" s="235" t="s">
        <v>94</v>
      </c>
      <c r="E108" s="236"/>
      <c r="F108" s="236"/>
      <c r="G108" s="237">
        <f ca="1">'MATRIZ COMPLETO PROPOSTA'!H108</f>
        <v>1306442.6656463149</v>
      </c>
      <c r="H108" s="237"/>
      <c r="I108" s="237"/>
      <c r="J108" s="237"/>
      <c r="K108" s="237">
        <f t="shared" ca="1" si="5"/>
        <v>1306442.6656463149</v>
      </c>
      <c r="L108" s="236"/>
      <c r="M108" s="237">
        <f>'MATRIZ COMPLETO PROPOSTA'!BD108+
 'MATRIZ COMPLETO PROPOSTA'!BA108+
 'MATRIZ COMPLETO PROPOSTA'!AX108+
 'MATRIZ COMPLETO PROPOSTA'!AS108+
 'MATRIZ COMPLETO PROPOSTA'!AM108</f>
        <v>536540.76322616381</v>
      </c>
      <c r="N108" s="236"/>
      <c r="O108" s="237"/>
      <c r="P108" s="236"/>
      <c r="Q108" s="243"/>
    </row>
    <row r="109" spans="2:17" x14ac:dyDescent="0.3">
      <c r="B109" s="230" t="s">
        <v>210</v>
      </c>
      <c r="C109" s="230" t="s">
        <v>245</v>
      </c>
      <c r="D109" s="230" t="s">
        <v>94</v>
      </c>
      <c r="G109" s="200">
        <f ca="1">'MATRIZ COMPLETO PROPOSTA'!H109</f>
        <v>371665.20156923175</v>
      </c>
      <c r="H109" s="200"/>
      <c r="I109" s="200"/>
      <c r="J109" s="200"/>
      <c r="K109" s="200">
        <f t="shared" ca="1" si="5"/>
        <v>371665.20156923175</v>
      </c>
      <c r="M109" s="200">
        <f>'MATRIZ COMPLETO PROPOSTA'!BD109+
 'MATRIZ COMPLETO PROPOSTA'!BA109+
 'MATRIZ COMPLETO PROPOSTA'!AX109+
 'MATRIZ COMPLETO PROPOSTA'!AS109+
 'MATRIZ COMPLETO PROPOSTA'!AM109</f>
        <v>225038.42507466298</v>
      </c>
      <c r="O109" s="200"/>
      <c r="Q109" s="240"/>
    </row>
    <row r="110" spans="2:17" x14ac:dyDescent="0.3">
      <c r="B110" s="235" t="s">
        <v>210</v>
      </c>
      <c r="C110" s="235" t="s">
        <v>246</v>
      </c>
      <c r="D110" s="235" t="s">
        <v>94</v>
      </c>
      <c r="E110" s="236"/>
      <c r="F110" s="236"/>
      <c r="G110" s="237">
        <f ca="1">'MATRIZ COMPLETO PROPOSTA'!H110</f>
        <v>635163.78120095714</v>
      </c>
      <c r="H110" s="237"/>
      <c r="I110" s="237"/>
      <c r="J110" s="237"/>
      <c r="K110" s="237">
        <f t="shared" ca="1" si="5"/>
        <v>635163.78120095714</v>
      </c>
      <c r="L110" s="236"/>
      <c r="M110" s="237">
        <f>'MATRIZ COMPLETO PROPOSTA'!BD110+
 'MATRIZ COMPLETO PROPOSTA'!BA110+
 'MATRIZ COMPLETO PROPOSTA'!AX110+
 'MATRIZ COMPLETO PROPOSTA'!AS110+
 'MATRIZ COMPLETO PROPOSTA'!AM110</f>
        <v>289568.57502860588</v>
      </c>
      <c r="N110" s="236"/>
      <c r="O110" s="237"/>
      <c r="P110" s="236"/>
      <c r="Q110" s="243"/>
    </row>
    <row r="111" spans="2:17" x14ac:dyDescent="0.3">
      <c r="B111" s="230" t="s">
        <v>210</v>
      </c>
      <c r="C111" s="230" t="s">
        <v>247</v>
      </c>
      <c r="D111" s="230" t="s">
        <v>94</v>
      </c>
      <c r="G111" s="200">
        <f ca="1">'MATRIZ COMPLETO PROPOSTA'!H111</f>
        <v>2233481.751999455</v>
      </c>
      <c r="H111" s="200"/>
      <c r="I111" s="200"/>
      <c r="J111" s="200"/>
      <c r="K111" s="200">
        <f t="shared" ca="1" si="5"/>
        <v>2233481.751999455</v>
      </c>
      <c r="M111" s="200">
        <f>'MATRIZ COMPLETO PROPOSTA'!BD111+
 'MATRIZ COMPLETO PROPOSTA'!BA111+
 'MATRIZ COMPLETO PROPOSTA'!AX111+
 'MATRIZ COMPLETO PROPOSTA'!AS111+
 'MATRIZ COMPLETO PROPOSTA'!AM111</f>
        <v>713821.38246747572</v>
      </c>
      <c r="O111" s="200"/>
      <c r="Q111" s="240"/>
    </row>
    <row r="112" spans="2:17" x14ac:dyDescent="0.3">
      <c r="B112" s="235" t="s">
        <v>210</v>
      </c>
      <c r="C112" s="235" t="s">
        <v>248</v>
      </c>
      <c r="D112" s="235" t="s">
        <v>94</v>
      </c>
      <c r="E112" s="236"/>
      <c r="F112" s="236"/>
      <c r="G112" s="237">
        <f ca="1">'MATRIZ COMPLETO PROPOSTA'!H112</f>
        <v>2041132.8637205635</v>
      </c>
      <c r="H112" s="237"/>
      <c r="I112" s="237"/>
      <c r="J112" s="237"/>
      <c r="K112" s="237">
        <f t="shared" ca="1" si="5"/>
        <v>2041132.8637205635</v>
      </c>
      <c r="L112" s="236"/>
      <c r="M112" s="237">
        <f>'MATRIZ COMPLETO PROPOSTA'!BD112+
 'MATRIZ COMPLETO PROPOSTA'!BA112+
 'MATRIZ COMPLETO PROPOSTA'!AX112+
 'MATRIZ COMPLETO PROPOSTA'!AS112+
 'MATRIZ COMPLETO PROPOSTA'!AM112</f>
        <v>700870.87228103518</v>
      </c>
      <c r="N112" s="236"/>
      <c r="O112" s="237"/>
      <c r="P112" s="236"/>
      <c r="Q112" s="243"/>
    </row>
    <row r="113" spans="2:17" x14ac:dyDescent="0.3">
      <c r="B113" s="230" t="s">
        <v>210</v>
      </c>
      <c r="C113" s="230" t="s">
        <v>249</v>
      </c>
      <c r="D113" s="230" t="s">
        <v>94</v>
      </c>
      <c r="G113" s="200">
        <f ca="1">'MATRIZ COMPLETO PROPOSTA'!H113</f>
        <v>3728321.2938724193</v>
      </c>
      <c r="H113" s="200"/>
      <c r="I113" s="200"/>
      <c r="J113" s="200"/>
      <c r="K113" s="200">
        <f t="shared" ca="1" si="5"/>
        <v>3728321.2938724193</v>
      </c>
      <c r="M113" s="200">
        <f>'MATRIZ COMPLETO PROPOSTA'!BD113+
 'MATRIZ COMPLETO PROPOSTA'!BA113+
 'MATRIZ COMPLETO PROPOSTA'!AX113+
 'MATRIZ COMPLETO PROPOSTA'!AS113+
 'MATRIZ COMPLETO PROPOSTA'!AM113</f>
        <v>1438939.9736416526</v>
      </c>
      <c r="O113" s="200"/>
      <c r="Q113" s="240"/>
    </row>
    <row r="114" spans="2:17" x14ac:dyDescent="0.3">
      <c r="G114" s="200"/>
      <c r="H114" s="200"/>
      <c r="I114" s="200"/>
      <c r="J114" s="200"/>
      <c r="K114" s="200"/>
      <c r="M114" s="200"/>
      <c r="O114" s="200"/>
      <c r="Q114" s="240"/>
    </row>
    <row r="115" spans="2:17" x14ac:dyDescent="0.3">
      <c r="B115" s="231" t="s">
        <v>250</v>
      </c>
      <c r="C115" s="231" t="s">
        <v>251</v>
      </c>
      <c r="D115" s="232" t="s">
        <v>154</v>
      </c>
      <c r="E115" s="232"/>
      <c r="F115" s="232"/>
      <c r="G115" s="238">
        <f ca="1">SUM(G116:G149)</f>
        <v>76492784.435173184</v>
      </c>
      <c r="H115" s="238">
        <f>'MATRIZ COMPLETO PROPOSTA'!Y115</f>
        <v>291023.81301066943</v>
      </c>
      <c r="I115" s="238">
        <f>'MATRIZ COMPLETO PROPOSTA'!AA115</f>
        <v>1557507.3196657971</v>
      </c>
      <c r="J115" s="238">
        <f>'MATRIZ COMPLETO PROPOSTA'!AC115</f>
        <v>885978.74937502504</v>
      </c>
      <c r="K115" s="238">
        <f ca="1">SUM(G115:J115)</f>
        <v>79227294.317224666</v>
      </c>
      <c r="L115" s="232"/>
      <c r="M115" s="238">
        <f>SUM(M116:M149)</f>
        <v>23366540.78518334</v>
      </c>
      <c r="N115" s="232"/>
      <c r="O115" s="238">
        <f ca="1">K115*'DADOS BASE'!$I$22</f>
        <v>118840.941475837</v>
      </c>
      <c r="P115" s="232"/>
      <c r="Q115" s="241">
        <f ca="1">SUM(H115:J115)/K115</f>
        <v>3.4514745273296378E-2</v>
      </c>
    </row>
    <row r="116" spans="2:17" x14ac:dyDescent="0.3">
      <c r="B116" s="233" t="s">
        <v>250</v>
      </c>
      <c r="C116" s="234" t="s">
        <v>156</v>
      </c>
      <c r="D116" s="234" t="s">
        <v>157</v>
      </c>
      <c r="E116" s="234"/>
      <c r="F116" s="234"/>
      <c r="G116" s="239">
        <f>('MATRIZ COMPLETO PROPOSTA'!L115+
  'MATRIZ COMPLETO PROPOSTA'!P115*0.25+
  'MATRIZ COMPLETO PROPOSTA'!S115*0.8)
 /
 ('MATRIZ COMPLETO PROPOSTA'!L11+
  'MATRIZ COMPLETO PROPOSTA'!P11*0.25+
  'MATRIZ COMPLETO PROPOSTA'!S11*0.8)
 *
 'DADOS BASE'!$J$93</f>
        <v>8421932.55558501</v>
      </c>
      <c r="H116" s="239"/>
      <c r="I116" s="239"/>
      <c r="J116" s="239"/>
      <c r="K116" s="239">
        <f t="shared" ref="K116:K149" si="6">J116+I116+H116+G116</f>
        <v>8421932.55558501</v>
      </c>
      <c r="L116" s="234"/>
      <c r="M116" s="239">
        <f>'MATRIZ COMPLETO PROPOSTA'!BD116+
 'MATRIZ COMPLETO PROPOSTA'!BA116+
 'MATRIZ COMPLETO PROPOSTA'!AX116+
 'MATRIZ COMPLETO PROPOSTA'!AS116+
 'MATRIZ COMPLETO PROPOSTA'!AM116</f>
        <v>0</v>
      </c>
      <c r="N116" s="234"/>
      <c r="O116" s="239"/>
      <c r="P116" s="234"/>
      <c r="Q116" s="242"/>
    </row>
    <row r="117" spans="2:17" x14ac:dyDescent="0.3">
      <c r="B117" s="230" t="s">
        <v>250</v>
      </c>
      <c r="C117" s="230" t="s">
        <v>252</v>
      </c>
      <c r="D117" s="230" t="s">
        <v>94</v>
      </c>
      <c r="G117" s="200">
        <f ca="1">'MATRIZ COMPLETO PROPOSTA'!H117</f>
        <v>1531850.4335808628</v>
      </c>
      <c r="H117" s="200"/>
      <c r="I117" s="200"/>
      <c r="J117" s="200"/>
      <c r="K117" s="200">
        <f t="shared" ca="1" si="6"/>
        <v>1531850.4335808628</v>
      </c>
      <c r="M117" s="200">
        <f>'MATRIZ COMPLETO PROPOSTA'!BD117+
 'MATRIZ COMPLETO PROPOSTA'!BA117+
 'MATRIZ COMPLETO PROPOSTA'!AX117+
 'MATRIZ COMPLETO PROPOSTA'!AS117+
 'MATRIZ COMPLETO PROPOSTA'!AM117</f>
        <v>564070.32780973008</v>
      </c>
      <c r="O117" s="200"/>
      <c r="Q117" s="240"/>
    </row>
    <row r="118" spans="2:17" x14ac:dyDescent="0.3">
      <c r="B118" s="235" t="s">
        <v>250</v>
      </c>
      <c r="C118" s="235" t="s">
        <v>253</v>
      </c>
      <c r="D118" s="235" t="s">
        <v>94</v>
      </c>
      <c r="E118" s="236"/>
      <c r="F118" s="236"/>
      <c r="G118" s="237">
        <f ca="1">'MATRIZ COMPLETO PROPOSTA'!H118</f>
        <v>620426.33175981953</v>
      </c>
      <c r="H118" s="237"/>
      <c r="I118" s="237"/>
      <c r="J118" s="237"/>
      <c r="K118" s="237">
        <f t="shared" ca="1" si="6"/>
        <v>620426.33175981953</v>
      </c>
      <c r="L118" s="236"/>
      <c r="M118" s="237">
        <f>'MATRIZ COMPLETO PROPOSTA'!BD118+
 'MATRIZ COMPLETO PROPOSTA'!BA118+
 'MATRIZ COMPLETO PROPOSTA'!AX118+
 'MATRIZ COMPLETO PROPOSTA'!AS118+
 'MATRIZ COMPLETO PROPOSTA'!AM118</f>
        <v>244571.20369999806</v>
      </c>
      <c r="N118" s="236"/>
      <c r="O118" s="237"/>
      <c r="P118" s="236"/>
      <c r="Q118" s="243"/>
    </row>
    <row r="119" spans="2:17" x14ac:dyDescent="0.3">
      <c r="B119" s="230" t="s">
        <v>250</v>
      </c>
      <c r="C119" s="230" t="s">
        <v>254</v>
      </c>
      <c r="D119" s="230" t="s">
        <v>94</v>
      </c>
      <c r="G119" s="200">
        <f ca="1">'MATRIZ COMPLETO PROPOSTA'!H119</f>
        <v>1739534.3691840339</v>
      </c>
      <c r="H119" s="200"/>
      <c r="I119" s="200"/>
      <c r="J119" s="200"/>
      <c r="K119" s="200">
        <f t="shared" ca="1" si="6"/>
        <v>1739534.3691840339</v>
      </c>
      <c r="M119" s="200">
        <f>'MATRIZ COMPLETO PROPOSTA'!BD119+
 'MATRIZ COMPLETO PROPOSTA'!BA119+
 'MATRIZ COMPLETO PROPOSTA'!AX119+
 'MATRIZ COMPLETO PROPOSTA'!AS119+
 'MATRIZ COMPLETO PROPOSTA'!AM119</f>
        <v>682943.84871839057</v>
      </c>
      <c r="O119" s="200"/>
      <c r="Q119" s="240"/>
    </row>
    <row r="120" spans="2:17" x14ac:dyDescent="0.3">
      <c r="B120" s="235" t="s">
        <v>250</v>
      </c>
      <c r="C120" s="235" t="s">
        <v>255</v>
      </c>
      <c r="D120" s="235" t="s">
        <v>96</v>
      </c>
      <c r="E120" s="236"/>
      <c r="F120" s="236"/>
      <c r="G120" s="237">
        <f ca="1">'MATRIZ COMPLETO PROPOSTA'!H120</f>
        <v>152868.96422941043</v>
      </c>
      <c r="H120" s="237"/>
      <c r="I120" s="237"/>
      <c r="J120" s="237"/>
      <c r="K120" s="237">
        <f t="shared" ca="1" si="6"/>
        <v>152868.96422941043</v>
      </c>
      <c r="L120" s="236"/>
      <c r="M120" s="237">
        <f>'MATRIZ COMPLETO PROPOSTA'!BD120+
 'MATRIZ COMPLETO PROPOSTA'!BA120+
 'MATRIZ COMPLETO PROPOSTA'!AX120+
 'MATRIZ COMPLETO PROPOSTA'!AS120+
 'MATRIZ COMPLETO PROPOSTA'!AM120</f>
        <v>51428.870395391736</v>
      </c>
      <c r="N120" s="236"/>
      <c r="O120" s="237"/>
      <c r="P120" s="236"/>
      <c r="Q120" s="243"/>
    </row>
    <row r="121" spans="2:17" x14ac:dyDescent="0.3">
      <c r="B121" s="230" t="s">
        <v>250</v>
      </c>
      <c r="C121" s="230" t="s">
        <v>256</v>
      </c>
      <c r="D121" s="230" t="s">
        <v>96</v>
      </c>
      <c r="G121" s="200">
        <f ca="1">'MATRIZ COMPLETO PROPOSTA'!H121</f>
        <v>163674.47761412547</v>
      </c>
      <c r="H121" s="200"/>
      <c r="I121" s="200"/>
      <c r="J121" s="200"/>
      <c r="K121" s="200">
        <f t="shared" ca="1" si="6"/>
        <v>163674.47761412547</v>
      </c>
      <c r="M121" s="200">
        <f>'MATRIZ COMPLETO PROPOSTA'!BD121+
 'MATRIZ COMPLETO PROPOSTA'!BA121+
 'MATRIZ COMPLETO PROPOSTA'!AX121+
 'MATRIZ COMPLETO PROPOSTA'!AS121+
 'MATRIZ COMPLETO PROPOSTA'!AM121</f>
        <v>20496.855249427415</v>
      </c>
      <c r="O121" s="200"/>
      <c r="Q121" s="240"/>
    </row>
    <row r="122" spans="2:17" x14ac:dyDescent="0.3">
      <c r="B122" s="235" t="s">
        <v>250</v>
      </c>
      <c r="C122" s="235" t="s">
        <v>257</v>
      </c>
      <c r="D122" s="235" t="s">
        <v>96</v>
      </c>
      <c r="E122" s="236"/>
      <c r="F122" s="236"/>
      <c r="G122" s="237">
        <f ca="1">'MATRIZ COMPLETO PROPOSTA'!H122</f>
        <v>700000</v>
      </c>
      <c r="H122" s="237"/>
      <c r="I122" s="237"/>
      <c r="J122" s="237"/>
      <c r="K122" s="237">
        <f t="shared" ca="1" si="6"/>
        <v>700000</v>
      </c>
      <c r="L122" s="236"/>
      <c r="M122" s="237">
        <f>'MATRIZ COMPLETO PROPOSTA'!BD122+
 'MATRIZ COMPLETO PROPOSTA'!BA122+
 'MATRIZ COMPLETO PROPOSTA'!AX122+
 'MATRIZ COMPLETO PROPOSTA'!AS122+
 'MATRIZ COMPLETO PROPOSTA'!AM122</f>
        <v>936.5391731343525</v>
      </c>
      <c r="N122" s="236"/>
      <c r="O122" s="237"/>
      <c r="P122" s="236"/>
      <c r="Q122" s="243"/>
    </row>
    <row r="123" spans="2:17" x14ac:dyDescent="0.3">
      <c r="B123" s="230" t="s">
        <v>250</v>
      </c>
      <c r="C123" s="230" t="s">
        <v>258</v>
      </c>
      <c r="D123" s="230" t="s">
        <v>94</v>
      </c>
      <c r="G123" s="200">
        <f ca="1">'MATRIZ COMPLETO PROPOSTA'!H123</f>
        <v>1285102.0687700815</v>
      </c>
      <c r="H123" s="200"/>
      <c r="I123" s="200"/>
      <c r="J123" s="200"/>
      <c r="K123" s="200">
        <f t="shared" ca="1" si="6"/>
        <v>1285102.0687700815</v>
      </c>
      <c r="M123" s="200">
        <f>'MATRIZ COMPLETO PROPOSTA'!BD123+
 'MATRIZ COMPLETO PROPOSTA'!BA123+
 'MATRIZ COMPLETO PROPOSTA'!AX123+
 'MATRIZ COMPLETO PROPOSTA'!AS123+
 'MATRIZ COMPLETO PROPOSTA'!AM123</f>
        <v>558810.80716285366</v>
      </c>
      <c r="O123" s="200"/>
      <c r="Q123" s="240"/>
    </row>
    <row r="124" spans="2:17" x14ac:dyDescent="0.3">
      <c r="B124" s="235" t="s">
        <v>250</v>
      </c>
      <c r="C124" s="235" t="s">
        <v>259</v>
      </c>
      <c r="D124" s="235" t="s">
        <v>94</v>
      </c>
      <c r="E124" s="236"/>
      <c r="F124" s="236"/>
      <c r="G124" s="237">
        <f ca="1">'MATRIZ COMPLETO PROPOSTA'!H124</f>
        <v>780030.32676662714</v>
      </c>
      <c r="H124" s="237"/>
      <c r="I124" s="237"/>
      <c r="J124" s="237"/>
      <c r="K124" s="237">
        <f t="shared" ca="1" si="6"/>
        <v>780030.32676662714</v>
      </c>
      <c r="L124" s="236"/>
      <c r="M124" s="237">
        <f>'MATRIZ COMPLETO PROPOSTA'!BD124+
 'MATRIZ COMPLETO PROPOSTA'!BA124+
 'MATRIZ COMPLETO PROPOSTA'!AX124+
 'MATRIZ COMPLETO PROPOSTA'!AS124+
 'MATRIZ COMPLETO PROPOSTA'!AM124</f>
        <v>272020.28587072215</v>
      </c>
      <c r="N124" s="236"/>
      <c r="O124" s="237"/>
      <c r="P124" s="236"/>
      <c r="Q124" s="243"/>
    </row>
    <row r="125" spans="2:17" x14ac:dyDescent="0.3">
      <c r="B125" s="230" t="s">
        <v>250</v>
      </c>
      <c r="C125" s="230" t="s">
        <v>260</v>
      </c>
      <c r="D125" s="230" t="s">
        <v>94</v>
      </c>
      <c r="G125" s="200">
        <f ca="1">'MATRIZ COMPLETO PROPOSTA'!H125</f>
        <v>1173374.4823726448</v>
      </c>
      <c r="H125" s="200"/>
      <c r="I125" s="200"/>
      <c r="J125" s="200"/>
      <c r="K125" s="200">
        <f t="shared" ca="1" si="6"/>
        <v>1173374.4823726448</v>
      </c>
      <c r="M125" s="200">
        <f>'MATRIZ COMPLETO PROPOSTA'!BD125+
 'MATRIZ COMPLETO PROPOSTA'!BA125+
 'MATRIZ COMPLETO PROPOSTA'!AX125+
 'MATRIZ COMPLETO PROPOSTA'!AS125+
 'MATRIZ COMPLETO PROPOSTA'!AM125</f>
        <v>407320.53360822151</v>
      </c>
      <c r="O125" s="200"/>
      <c r="Q125" s="240"/>
    </row>
    <row r="126" spans="2:17" x14ac:dyDescent="0.3">
      <c r="B126" s="235" t="s">
        <v>250</v>
      </c>
      <c r="C126" s="235" t="s">
        <v>261</v>
      </c>
      <c r="D126" s="235" t="s">
        <v>94</v>
      </c>
      <c r="E126" s="236"/>
      <c r="F126" s="236"/>
      <c r="G126" s="237">
        <f ca="1">'MATRIZ COMPLETO PROPOSTA'!H126</f>
        <v>2145623.5732615339</v>
      </c>
      <c r="H126" s="237"/>
      <c r="I126" s="237"/>
      <c r="J126" s="237"/>
      <c r="K126" s="237">
        <f t="shared" ca="1" si="6"/>
        <v>2145623.5732615339</v>
      </c>
      <c r="L126" s="236"/>
      <c r="M126" s="237">
        <f>'MATRIZ COMPLETO PROPOSTA'!BD126+
 'MATRIZ COMPLETO PROPOSTA'!BA126+
 'MATRIZ COMPLETO PROPOSTA'!AX126+
 'MATRIZ COMPLETO PROPOSTA'!AS126+
 'MATRIZ COMPLETO PROPOSTA'!AM126</f>
        <v>832001.26619996014</v>
      </c>
      <c r="N126" s="236"/>
      <c r="O126" s="237"/>
      <c r="P126" s="236"/>
      <c r="Q126" s="243"/>
    </row>
    <row r="127" spans="2:17" x14ac:dyDescent="0.3">
      <c r="B127" s="230" t="s">
        <v>250</v>
      </c>
      <c r="C127" s="230" t="s">
        <v>262</v>
      </c>
      <c r="D127" s="230" t="s">
        <v>94</v>
      </c>
      <c r="G127" s="200">
        <f ca="1">'MATRIZ COMPLETO PROPOSTA'!H127</f>
        <v>1598582.9948852684</v>
      </c>
      <c r="H127" s="200"/>
      <c r="I127" s="200"/>
      <c r="J127" s="200"/>
      <c r="K127" s="200">
        <f t="shared" ca="1" si="6"/>
        <v>1598582.9948852684</v>
      </c>
      <c r="M127" s="200">
        <f>'MATRIZ COMPLETO PROPOSTA'!BD127+
 'MATRIZ COMPLETO PROPOSTA'!BA127+
 'MATRIZ COMPLETO PROPOSTA'!AX127+
 'MATRIZ COMPLETO PROPOSTA'!AS127+
 'MATRIZ COMPLETO PROPOSTA'!AM127</f>
        <v>533084.95792715601</v>
      </c>
      <c r="O127" s="200"/>
      <c r="Q127" s="240"/>
    </row>
    <row r="128" spans="2:17" x14ac:dyDescent="0.3">
      <c r="B128" s="235" t="s">
        <v>250</v>
      </c>
      <c r="C128" s="235" t="s">
        <v>263</v>
      </c>
      <c r="D128" s="235" t="s">
        <v>94</v>
      </c>
      <c r="E128" s="236"/>
      <c r="F128" s="236"/>
      <c r="G128" s="237">
        <f ca="1">'MATRIZ COMPLETO PROPOSTA'!H128</f>
        <v>2447868.1372178704</v>
      </c>
      <c r="H128" s="237"/>
      <c r="I128" s="237"/>
      <c r="J128" s="237"/>
      <c r="K128" s="237">
        <f t="shared" ca="1" si="6"/>
        <v>2447868.1372178704</v>
      </c>
      <c r="L128" s="236"/>
      <c r="M128" s="237">
        <f>'MATRIZ COMPLETO PROPOSTA'!BD128+
 'MATRIZ COMPLETO PROPOSTA'!BA128+
 'MATRIZ COMPLETO PROPOSTA'!AX128+
 'MATRIZ COMPLETO PROPOSTA'!AS128+
 'MATRIZ COMPLETO PROPOSTA'!AM128</f>
        <v>1067451.8894521133</v>
      </c>
      <c r="N128" s="236"/>
      <c r="O128" s="237"/>
      <c r="P128" s="236"/>
      <c r="Q128" s="243"/>
    </row>
    <row r="129" spans="2:17" x14ac:dyDescent="0.3">
      <c r="B129" s="230" t="s">
        <v>250</v>
      </c>
      <c r="C129" s="230" t="s">
        <v>264</v>
      </c>
      <c r="D129" s="230" t="s">
        <v>94</v>
      </c>
      <c r="G129" s="200">
        <f ca="1">'MATRIZ COMPLETO PROPOSTA'!H129</f>
        <v>3413070.8153521977</v>
      </c>
      <c r="H129" s="200"/>
      <c r="I129" s="200"/>
      <c r="J129" s="200"/>
      <c r="K129" s="200">
        <f t="shared" ca="1" si="6"/>
        <v>3413070.8153521977</v>
      </c>
      <c r="M129" s="200">
        <f>'MATRIZ COMPLETO PROPOSTA'!BD129+
 'MATRIZ COMPLETO PROPOSTA'!BA129+
 'MATRIZ COMPLETO PROPOSTA'!AX129+
 'MATRIZ COMPLETO PROPOSTA'!AS129+
 'MATRIZ COMPLETO PROPOSTA'!AM129</f>
        <v>1128990.6477622725</v>
      </c>
      <c r="O129" s="200"/>
      <c r="Q129" s="240"/>
    </row>
    <row r="130" spans="2:17" x14ac:dyDescent="0.3">
      <c r="B130" s="235" t="s">
        <v>250</v>
      </c>
      <c r="C130" s="235" t="s">
        <v>265</v>
      </c>
      <c r="D130" s="235" t="s">
        <v>92</v>
      </c>
      <c r="E130" s="236"/>
      <c r="F130" s="236"/>
      <c r="G130" s="237">
        <f ca="1">'MATRIZ COMPLETO PROPOSTA'!H130</f>
        <v>3143858.4832053115</v>
      </c>
      <c r="H130" s="237"/>
      <c r="I130" s="237"/>
      <c r="J130" s="237"/>
      <c r="K130" s="237">
        <f t="shared" ca="1" si="6"/>
        <v>3143858.4832053115</v>
      </c>
      <c r="L130" s="236"/>
      <c r="M130" s="237">
        <f>'MATRIZ COMPLETO PROPOSTA'!BD130+
 'MATRIZ COMPLETO PROPOSTA'!BA130+
 'MATRIZ COMPLETO PROPOSTA'!AX130+
 'MATRIZ COMPLETO PROPOSTA'!AS130+
 'MATRIZ COMPLETO PROPOSTA'!AM130</f>
        <v>1542931.6361992483</v>
      </c>
      <c r="N130" s="236"/>
      <c r="O130" s="237"/>
      <c r="P130" s="236"/>
      <c r="Q130" s="243"/>
    </row>
    <row r="131" spans="2:17" x14ac:dyDescent="0.3">
      <c r="B131" s="230" t="s">
        <v>250</v>
      </c>
      <c r="C131" s="230" t="s">
        <v>266</v>
      </c>
      <c r="D131" s="230" t="s">
        <v>94</v>
      </c>
      <c r="G131" s="200">
        <f ca="1">'MATRIZ COMPLETO PROPOSTA'!H131</f>
        <v>13434800.014893528</v>
      </c>
      <c r="H131" s="200"/>
      <c r="I131" s="200"/>
      <c r="J131" s="200"/>
      <c r="K131" s="200">
        <f t="shared" ca="1" si="6"/>
        <v>13434800.014893528</v>
      </c>
      <c r="M131" s="200">
        <f>'MATRIZ COMPLETO PROPOSTA'!BD131+
 'MATRIZ COMPLETO PROPOSTA'!BA131+
 'MATRIZ COMPLETO PROPOSTA'!AX131+
 'MATRIZ COMPLETO PROPOSTA'!AS131+
 'MATRIZ COMPLETO PROPOSTA'!AM131</f>
        <v>4025958.9569357494</v>
      </c>
      <c r="O131" s="200"/>
      <c r="Q131" s="240"/>
    </row>
    <row r="132" spans="2:17" x14ac:dyDescent="0.3">
      <c r="B132" s="235" t="s">
        <v>250</v>
      </c>
      <c r="C132" s="235" t="s">
        <v>267</v>
      </c>
      <c r="D132" s="235" t="s">
        <v>94</v>
      </c>
      <c r="E132" s="236"/>
      <c r="F132" s="236"/>
      <c r="G132" s="237">
        <f ca="1">'MATRIZ COMPLETO PROPOSTA'!H132</f>
        <v>417227.19511967601</v>
      </c>
      <c r="H132" s="237"/>
      <c r="I132" s="237"/>
      <c r="J132" s="237"/>
      <c r="K132" s="237">
        <f t="shared" ca="1" si="6"/>
        <v>417227.19511967601</v>
      </c>
      <c r="L132" s="236"/>
      <c r="M132" s="237">
        <f>'MATRIZ COMPLETO PROPOSTA'!BD132+
 'MATRIZ COMPLETO PROPOSTA'!BA132+
 'MATRIZ COMPLETO PROPOSTA'!AX132+
 'MATRIZ COMPLETO PROPOSTA'!AS132+
 'MATRIZ COMPLETO PROPOSTA'!AM132</f>
        <v>162781.79782989342</v>
      </c>
      <c r="N132" s="236"/>
      <c r="O132" s="237"/>
      <c r="P132" s="236"/>
      <c r="Q132" s="243"/>
    </row>
    <row r="133" spans="2:17" x14ac:dyDescent="0.3">
      <c r="B133" s="230" t="s">
        <v>250</v>
      </c>
      <c r="C133" s="230" t="s">
        <v>268</v>
      </c>
      <c r="D133" s="230" t="s">
        <v>92</v>
      </c>
      <c r="G133" s="200">
        <f ca="1">'MATRIZ COMPLETO PROPOSTA'!H133</f>
        <v>3320382.7324741259</v>
      </c>
      <c r="H133" s="200"/>
      <c r="I133" s="200"/>
      <c r="J133" s="200"/>
      <c r="K133" s="200">
        <f t="shared" ca="1" si="6"/>
        <v>3320382.7324741259</v>
      </c>
      <c r="M133" s="200">
        <f>'MATRIZ COMPLETO PROPOSTA'!BD133+
 'MATRIZ COMPLETO PROPOSTA'!BA133+
 'MATRIZ COMPLETO PROPOSTA'!AX133+
 'MATRIZ COMPLETO PROPOSTA'!AS133+
 'MATRIZ COMPLETO PROPOSTA'!AM133</f>
        <v>1503924.1690515717</v>
      </c>
      <c r="O133" s="200"/>
      <c r="Q133" s="240"/>
    </row>
    <row r="134" spans="2:17" x14ac:dyDescent="0.3">
      <c r="B134" s="235" t="s">
        <v>250</v>
      </c>
      <c r="C134" s="235" t="s">
        <v>269</v>
      </c>
      <c r="D134" s="235" t="s">
        <v>94</v>
      </c>
      <c r="E134" s="236"/>
      <c r="F134" s="236"/>
      <c r="G134" s="237">
        <f ca="1">'MATRIZ COMPLETO PROPOSTA'!H134</f>
        <v>1593202.8234993485</v>
      </c>
      <c r="H134" s="237"/>
      <c r="I134" s="237"/>
      <c r="J134" s="237"/>
      <c r="K134" s="237">
        <f t="shared" ca="1" si="6"/>
        <v>1593202.8234993485</v>
      </c>
      <c r="L134" s="236"/>
      <c r="M134" s="237">
        <f>'MATRIZ COMPLETO PROPOSTA'!BD134+
 'MATRIZ COMPLETO PROPOSTA'!BA134+
 'MATRIZ COMPLETO PROPOSTA'!AX134+
 'MATRIZ COMPLETO PROPOSTA'!AS134+
 'MATRIZ COMPLETO PROPOSTA'!AM134</f>
        <v>503530.81983913819</v>
      </c>
      <c r="N134" s="236"/>
      <c r="O134" s="237"/>
      <c r="P134" s="236"/>
      <c r="Q134" s="243"/>
    </row>
    <row r="135" spans="2:17" x14ac:dyDescent="0.3">
      <c r="B135" s="230" t="s">
        <v>250</v>
      </c>
      <c r="C135" s="230" t="s">
        <v>270</v>
      </c>
      <c r="D135" s="230" t="s">
        <v>94</v>
      </c>
      <c r="G135" s="200">
        <f ca="1">'MATRIZ COMPLETO PROPOSTA'!H135</f>
        <v>1041938.7525099083</v>
      </c>
      <c r="H135" s="200"/>
      <c r="I135" s="200"/>
      <c r="J135" s="200"/>
      <c r="K135" s="200">
        <f t="shared" ca="1" si="6"/>
        <v>1041938.7525099083</v>
      </c>
      <c r="M135" s="200">
        <f>'MATRIZ COMPLETO PROPOSTA'!BD135+
 'MATRIZ COMPLETO PROPOSTA'!BA135+
 'MATRIZ COMPLETO PROPOSTA'!AX135+
 'MATRIZ COMPLETO PROPOSTA'!AS135+
 'MATRIZ COMPLETO PROPOSTA'!AM135</f>
        <v>382580.87268732523</v>
      </c>
      <c r="O135" s="200"/>
      <c r="Q135" s="240"/>
    </row>
    <row r="136" spans="2:17" x14ac:dyDescent="0.3">
      <c r="B136" s="235" t="s">
        <v>250</v>
      </c>
      <c r="C136" s="235" t="s">
        <v>271</v>
      </c>
      <c r="D136" s="235" t="s">
        <v>94</v>
      </c>
      <c r="E136" s="236"/>
      <c r="F136" s="236"/>
      <c r="G136" s="237">
        <f ca="1">'MATRIZ COMPLETO PROPOSTA'!H136</f>
        <v>3181680.0526798731</v>
      </c>
      <c r="H136" s="237"/>
      <c r="I136" s="237"/>
      <c r="J136" s="237"/>
      <c r="K136" s="237">
        <f t="shared" ca="1" si="6"/>
        <v>3181680.0526798731</v>
      </c>
      <c r="L136" s="236"/>
      <c r="M136" s="237">
        <f>'MATRIZ COMPLETO PROPOSTA'!BD136+
 'MATRIZ COMPLETO PROPOSTA'!BA136+
 'MATRIZ COMPLETO PROPOSTA'!AX136+
 'MATRIZ COMPLETO PROPOSTA'!AS136+
 'MATRIZ COMPLETO PROPOSTA'!AM136</f>
        <v>932102.3762443664</v>
      </c>
      <c r="N136" s="236"/>
      <c r="O136" s="237"/>
      <c r="P136" s="236"/>
      <c r="Q136" s="243"/>
    </row>
    <row r="137" spans="2:17" x14ac:dyDescent="0.3">
      <c r="B137" s="230" t="s">
        <v>250</v>
      </c>
      <c r="C137" s="230" t="s">
        <v>272</v>
      </c>
      <c r="D137" s="230" t="s">
        <v>92</v>
      </c>
      <c r="G137" s="200">
        <f ca="1">'MATRIZ COMPLETO PROPOSTA'!H137</f>
        <v>2925257.8481777199</v>
      </c>
      <c r="H137" s="200"/>
      <c r="I137" s="200"/>
      <c r="J137" s="200"/>
      <c r="K137" s="200">
        <f t="shared" ca="1" si="6"/>
        <v>2925257.8481777199</v>
      </c>
      <c r="M137" s="200">
        <f>'MATRIZ COMPLETO PROPOSTA'!BD137+
 'MATRIZ COMPLETO PROPOSTA'!BA137+
 'MATRIZ COMPLETO PROPOSTA'!AX137+
 'MATRIZ COMPLETO PROPOSTA'!AS137+
 'MATRIZ COMPLETO PROPOSTA'!AM137</f>
        <v>833907.56331864535</v>
      </c>
      <c r="O137" s="200"/>
      <c r="Q137" s="240"/>
    </row>
    <row r="138" spans="2:17" x14ac:dyDescent="0.3">
      <c r="B138" s="235" t="s">
        <v>250</v>
      </c>
      <c r="C138" s="235" t="s">
        <v>273</v>
      </c>
      <c r="D138" s="235" t="s">
        <v>94</v>
      </c>
      <c r="E138" s="236"/>
      <c r="F138" s="236"/>
      <c r="G138" s="237">
        <f ca="1">'MATRIZ COMPLETO PROPOSTA'!H138</f>
        <v>3831109.1204037061</v>
      </c>
      <c r="H138" s="237"/>
      <c r="I138" s="237"/>
      <c r="J138" s="237"/>
      <c r="K138" s="237">
        <f t="shared" ca="1" si="6"/>
        <v>3831109.1204037061</v>
      </c>
      <c r="L138" s="236"/>
      <c r="M138" s="237">
        <f>'MATRIZ COMPLETO PROPOSTA'!BD138+
 'MATRIZ COMPLETO PROPOSTA'!BA138+
 'MATRIZ COMPLETO PROPOSTA'!AX138+
 'MATRIZ COMPLETO PROPOSTA'!AS138+
 'MATRIZ COMPLETO PROPOSTA'!AM138</f>
        <v>1409926.0257528911</v>
      </c>
      <c r="N138" s="236"/>
      <c r="O138" s="237"/>
      <c r="P138" s="236"/>
      <c r="Q138" s="243"/>
    </row>
    <row r="139" spans="2:17" x14ac:dyDescent="0.3">
      <c r="B139" s="230" t="s">
        <v>250</v>
      </c>
      <c r="C139" s="230" t="s">
        <v>274</v>
      </c>
      <c r="D139" s="230" t="s">
        <v>94</v>
      </c>
      <c r="G139" s="200">
        <f ca="1">'MATRIZ COMPLETO PROPOSTA'!H139</f>
        <v>1038261.0650568241</v>
      </c>
      <c r="H139" s="200"/>
      <c r="I139" s="200"/>
      <c r="J139" s="200"/>
      <c r="K139" s="200">
        <f t="shared" ca="1" si="6"/>
        <v>1038261.0650568241</v>
      </c>
      <c r="M139" s="200">
        <f>'MATRIZ COMPLETO PROPOSTA'!BD139+
 'MATRIZ COMPLETO PROPOSTA'!BA139+
 'MATRIZ COMPLETO PROPOSTA'!AX139+
 'MATRIZ COMPLETO PROPOSTA'!AS139+
 'MATRIZ COMPLETO PROPOSTA'!AM139</f>
        <v>332261.01243131363</v>
      </c>
      <c r="O139" s="200"/>
      <c r="Q139" s="240"/>
    </row>
    <row r="140" spans="2:17" x14ac:dyDescent="0.3">
      <c r="B140" s="235" t="s">
        <v>250</v>
      </c>
      <c r="C140" s="235" t="s">
        <v>275</v>
      </c>
      <c r="D140" s="235" t="s">
        <v>94</v>
      </c>
      <c r="E140" s="236"/>
      <c r="F140" s="236"/>
      <c r="G140" s="237">
        <f ca="1">'MATRIZ COMPLETO PROPOSTA'!H140</f>
        <v>1057880.5543261301</v>
      </c>
      <c r="H140" s="237"/>
      <c r="I140" s="237"/>
      <c r="J140" s="237"/>
      <c r="K140" s="237">
        <f t="shared" ca="1" si="6"/>
        <v>1057880.5543261301</v>
      </c>
      <c r="L140" s="236"/>
      <c r="M140" s="237">
        <f>'MATRIZ COMPLETO PROPOSTA'!BD140+
 'MATRIZ COMPLETO PROPOSTA'!BA140+
 'MATRIZ COMPLETO PROPOSTA'!AX140+
 'MATRIZ COMPLETO PROPOSTA'!AS140+
 'MATRIZ COMPLETO PROPOSTA'!AM140</f>
        <v>307815.72010071843</v>
      </c>
      <c r="N140" s="236"/>
      <c r="O140" s="237"/>
      <c r="P140" s="236"/>
      <c r="Q140" s="243"/>
    </row>
    <row r="141" spans="2:17" x14ac:dyDescent="0.3">
      <c r="B141" s="230" t="s">
        <v>250</v>
      </c>
      <c r="C141" s="230" t="s">
        <v>276</v>
      </c>
      <c r="D141" s="230" t="s">
        <v>94</v>
      </c>
      <c r="G141" s="200">
        <f ca="1">'MATRIZ COMPLETO PROPOSTA'!H141</f>
        <v>687512.93572277646</v>
      </c>
      <c r="H141" s="200"/>
      <c r="I141" s="200"/>
      <c r="J141" s="200"/>
      <c r="K141" s="200">
        <f t="shared" ca="1" si="6"/>
        <v>687512.93572277646</v>
      </c>
      <c r="M141" s="200">
        <f>'MATRIZ COMPLETO PROPOSTA'!BD141+
 'MATRIZ COMPLETO PROPOSTA'!BA141+
 'MATRIZ COMPLETO PROPOSTA'!AX141+
 'MATRIZ COMPLETO PROPOSTA'!AS141+
 'MATRIZ COMPLETO PROPOSTA'!AM141</f>
        <v>267031.62420680257</v>
      </c>
      <c r="O141" s="200"/>
      <c r="Q141" s="240"/>
    </row>
    <row r="142" spans="2:17" x14ac:dyDescent="0.3">
      <c r="B142" s="235" t="s">
        <v>250</v>
      </c>
      <c r="C142" s="235" t="s">
        <v>277</v>
      </c>
      <c r="D142" s="235" t="s">
        <v>94</v>
      </c>
      <c r="E142" s="236"/>
      <c r="F142" s="236"/>
      <c r="G142" s="237">
        <f ca="1">'MATRIZ COMPLETO PROPOSTA'!H142</f>
        <v>1111448.188823316</v>
      </c>
      <c r="H142" s="237"/>
      <c r="I142" s="237"/>
      <c r="J142" s="237"/>
      <c r="K142" s="237">
        <f t="shared" ca="1" si="6"/>
        <v>1111448.188823316</v>
      </c>
      <c r="L142" s="236"/>
      <c r="M142" s="237">
        <f>'MATRIZ COMPLETO PROPOSTA'!BD142+
 'MATRIZ COMPLETO PROPOSTA'!BA142+
 'MATRIZ COMPLETO PROPOSTA'!AX142+
 'MATRIZ COMPLETO PROPOSTA'!AS142+
 'MATRIZ COMPLETO PROPOSTA'!AM142</f>
        <v>326593.05192324787</v>
      </c>
      <c r="N142" s="236"/>
      <c r="O142" s="237"/>
      <c r="P142" s="236"/>
      <c r="Q142" s="243"/>
    </row>
    <row r="143" spans="2:17" x14ac:dyDescent="0.3">
      <c r="B143" s="230" t="s">
        <v>250</v>
      </c>
      <c r="C143" s="230" t="s">
        <v>278</v>
      </c>
      <c r="D143" s="230" t="s">
        <v>94</v>
      </c>
      <c r="G143" s="200">
        <f ca="1">'MATRIZ COMPLETO PROPOSTA'!H143</f>
        <v>3474870.8759820387</v>
      </c>
      <c r="H143" s="200"/>
      <c r="I143" s="200"/>
      <c r="J143" s="200"/>
      <c r="K143" s="200">
        <f t="shared" ca="1" si="6"/>
        <v>3474870.8759820387</v>
      </c>
      <c r="M143" s="200">
        <f>'MATRIZ COMPLETO PROPOSTA'!BD143+
 'MATRIZ COMPLETO PROPOSTA'!BA143+
 'MATRIZ COMPLETO PROPOSTA'!AX143+
 'MATRIZ COMPLETO PROPOSTA'!AS143+
 'MATRIZ COMPLETO PROPOSTA'!AM143</f>
        <v>1187721.0133433505</v>
      </c>
      <c r="O143" s="200"/>
      <c r="Q143" s="240"/>
    </row>
    <row r="144" spans="2:17" x14ac:dyDescent="0.3">
      <c r="B144" s="235" t="s">
        <v>250</v>
      </c>
      <c r="C144" s="235" t="s">
        <v>279</v>
      </c>
      <c r="D144" s="235" t="s">
        <v>94</v>
      </c>
      <c r="E144" s="236"/>
      <c r="F144" s="236"/>
      <c r="G144" s="237">
        <f ca="1">'MATRIZ COMPLETO PROPOSTA'!H144</f>
        <v>3359334.6508150385</v>
      </c>
      <c r="H144" s="237"/>
      <c r="I144" s="237"/>
      <c r="J144" s="237"/>
      <c r="K144" s="237">
        <f t="shared" ca="1" si="6"/>
        <v>3359334.6508150385</v>
      </c>
      <c r="L144" s="236"/>
      <c r="M144" s="237">
        <f>'MATRIZ COMPLETO PROPOSTA'!BD144+
 'MATRIZ COMPLETO PROPOSTA'!BA144+
 'MATRIZ COMPLETO PROPOSTA'!AX144+
 'MATRIZ COMPLETO PROPOSTA'!AS144+
 'MATRIZ COMPLETO PROPOSTA'!AM144</f>
        <v>1074630.2724659406</v>
      </c>
      <c r="N144" s="236"/>
      <c r="O144" s="237"/>
      <c r="P144" s="236"/>
      <c r="Q144" s="243"/>
    </row>
    <row r="145" spans="2:17" x14ac:dyDescent="0.3">
      <c r="B145" s="230" t="s">
        <v>250</v>
      </c>
      <c r="C145" s="230" t="s">
        <v>280</v>
      </c>
      <c r="D145" s="230" t="s">
        <v>94</v>
      </c>
      <c r="G145" s="200">
        <f ca="1">'MATRIZ COMPLETO PROPOSTA'!H145</f>
        <v>906587.37853515672</v>
      </c>
      <c r="H145" s="200"/>
      <c r="I145" s="200"/>
      <c r="J145" s="200"/>
      <c r="K145" s="200">
        <f t="shared" ca="1" si="6"/>
        <v>906587.37853515672</v>
      </c>
      <c r="M145" s="200">
        <f>'MATRIZ COMPLETO PROPOSTA'!BD145+
 'MATRIZ COMPLETO PROPOSTA'!BA145+
 'MATRIZ COMPLETO PROPOSTA'!AX145+
 'MATRIZ COMPLETO PROPOSTA'!AS145+
 'MATRIZ COMPLETO PROPOSTA'!AM145</f>
        <v>298694.44215632079</v>
      </c>
      <c r="O145" s="200"/>
      <c r="Q145" s="240"/>
    </row>
    <row r="146" spans="2:17" x14ac:dyDescent="0.3">
      <c r="B146" s="235" t="s">
        <v>250</v>
      </c>
      <c r="C146" s="235" t="s">
        <v>281</v>
      </c>
      <c r="D146" s="235" t="s">
        <v>94</v>
      </c>
      <c r="E146" s="236"/>
      <c r="F146" s="236"/>
      <c r="G146" s="237">
        <f ca="1">'MATRIZ COMPLETO PROPOSTA'!H146</f>
        <v>991839.179233414</v>
      </c>
      <c r="H146" s="237"/>
      <c r="I146" s="237"/>
      <c r="J146" s="237"/>
      <c r="K146" s="237">
        <f t="shared" ca="1" si="6"/>
        <v>991839.179233414</v>
      </c>
      <c r="L146" s="236"/>
      <c r="M146" s="237">
        <f>'MATRIZ COMPLETO PROPOSTA'!BD146+
 'MATRIZ COMPLETO PROPOSTA'!BA146+
 'MATRIZ COMPLETO PROPOSTA'!AX146+
 'MATRIZ COMPLETO PROPOSTA'!AS146+
 'MATRIZ COMPLETO PROPOSTA'!AM146</f>
        <v>364276.95422288054</v>
      </c>
      <c r="N146" s="236"/>
      <c r="O146" s="237"/>
      <c r="P146" s="236"/>
      <c r="Q146" s="243"/>
    </row>
    <row r="147" spans="2:17" x14ac:dyDescent="0.3">
      <c r="B147" s="230" t="s">
        <v>250</v>
      </c>
      <c r="C147" s="230" t="s">
        <v>282</v>
      </c>
      <c r="D147" s="230" t="s">
        <v>94</v>
      </c>
      <c r="G147" s="200">
        <f ca="1">'MATRIZ COMPLETO PROPOSTA'!H147</f>
        <v>1641321.7198394292</v>
      </c>
      <c r="H147" s="200"/>
      <c r="I147" s="200"/>
      <c r="J147" s="200"/>
      <c r="K147" s="200">
        <f t="shared" ca="1" si="6"/>
        <v>1641321.7198394292</v>
      </c>
      <c r="M147" s="200">
        <f>'MATRIZ COMPLETO PROPOSTA'!BD147+
 'MATRIZ COMPLETO PROPOSTA'!BA147+
 'MATRIZ COMPLETO PROPOSTA'!AX147+
 'MATRIZ COMPLETO PROPOSTA'!AS147+
 'MATRIZ COMPLETO PROPOSTA'!AM147</f>
        <v>610930.2511305291</v>
      </c>
      <c r="O147" s="200"/>
      <c r="Q147" s="240"/>
    </row>
    <row r="148" spans="2:17" x14ac:dyDescent="0.3">
      <c r="B148" s="235" t="s">
        <v>250</v>
      </c>
      <c r="C148" s="235" t="s">
        <v>283</v>
      </c>
      <c r="D148" s="235" t="s">
        <v>94</v>
      </c>
      <c r="E148" s="236"/>
      <c r="F148" s="236"/>
      <c r="G148" s="237">
        <f ca="1">'MATRIZ COMPLETO PROPOSTA'!H148</f>
        <v>1611765.2647011459</v>
      </c>
      <c r="H148" s="237"/>
      <c r="I148" s="237"/>
      <c r="J148" s="237"/>
      <c r="K148" s="237">
        <f t="shared" ca="1" si="6"/>
        <v>1611765.2647011459</v>
      </c>
      <c r="L148" s="236"/>
      <c r="M148" s="237">
        <f>'MATRIZ COMPLETO PROPOSTA'!BD148+
 'MATRIZ COMPLETO PROPOSTA'!BA148+
 'MATRIZ COMPLETO PROPOSTA'!AX148+
 'MATRIZ COMPLETO PROPOSTA'!AS148+
 'MATRIZ COMPLETO PROPOSTA'!AM148</f>
        <v>447204.76228301693</v>
      </c>
      <c r="N148" s="236"/>
      <c r="O148" s="237"/>
      <c r="P148" s="236"/>
      <c r="Q148" s="243"/>
    </row>
    <row r="149" spans="2:17" x14ac:dyDescent="0.3">
      <c r="B149" s="230" t="s">
        <v>250</v>
      </c>
      <c r="C149" s="230" t="s">
        <v>284</v>
      </c>
      <c r="D149" s="230" t="s">
        <v>92</v>
      </c>
      <c r="G149" s="200">
        <f ca="1">'MATRIZ COMPLETO PROPOSTA'!H149</f>
        <v>1548566.0685952422</v>
      </c>
      <c r="H149" s="200"/>
      <c r="I149" s="200"/>
      <c r="J149" s="200"/>
      <c r="K149" s="200">
        <f t="shared" ca="1" si="6"/>
        <v>1548566.0685952422</v>
      </c>
      <c r="M149" s="200">
        <f>'MATRIZ COMPLETO PROPOSTA'!BD149+
 'MATRIZ COMPLETO PROPOSTA'!BA149+
 'MATRIZ COMPLETO PROPOSTA'!AX149+
 'MATRIZ COMPLETO PROPOSTA'!AS149+
 'MATRIZ COMPLETO PROPOSTA'!AM149</f>
        <v>487609.43003101693</v>
      </c>
      <c r="O149" s="200"/>
      <c r="Q149" s="240"/>
    </row>
    <row r="150" spans="2:17" x14ac:dyDescent="0.3">
      <c r="G150" s="200"/>
      <c r="H150" s="200"/>
      <c r="I150" s="200"/>
      <c r="J150" s="200"/>
      <c r="K150" s="200"/>
      <c r="M150" s="200"/>
      <c r="O150" s="200"/>
      <c r="Q150" s="240"/>
    </row>
    <row r="151" spans="2:17" x14ac:dyDescent="0.3">
      <c r="B151" s="231" t="s">
        <v>285</v>
      </c>
      <c r="C151" s="231" t="s">
        <v>286</v>
      </c>
      <c r="D151" s="232" t="s">
        <v>154</v>
      </c>
      <c r="E151" s="232"/>
      <c r="F151" s="232"/>
      <c r="G151" s="238">
        <f ca="1">SUM(G152:G162)</f>
        <v>25691982.942891505</v>
      </c>
      <c r="H151" s="238">
        <f>'MATRIZ COMPLETO PROPOSTA'!Y151</f>
        <v>294079.18112626701</v>
      </c>
      <c r="I151" s="238">
        <f>'MATRIZ COMPLETO PROPOSTA'!AA151</f>
        <v>1597367.1326595361</v>
      </c>
      <c r="J151" s="238">
        <f>'MATRIZ COMPLETO PROPOSTA'!AC151</f>
        <v>1937691.8712538381</v>
      </c>
      <c r="K151" s="238">
        <f ca="1">SUM(G151:J151)</f>
        <v>29521121.127931144</v>
      </c>
      <c r="L151" s="232"/>
      <c r="M151" s="238">
        <f>SUM(M152:M162)</f>
        <v>7441945.999912045</v>
      </c>
      <c r="N151" s="232"/>
      <c r="O151" s="238">
        <f ca="1">K151*'DADOS BASE'!$I$22</f>
        <v>44281.681691896716</v>
      </c>
      <c r="P151" s="232"/>
      <c r="Q151" s="241">
        <f ca="1">SUM(H151:J151)/K151</f>
        <v>0.12970842700878107</v>
      </c>
    </row>
    <row r="152" spans="2:17" x14ac:dyDescent="0.3">
      <c r="B152" s="233" t="s">
        <v>285</v>
      </c>
      <c r="C152" s="234" t="s">
        <v>156</v>
      </c>
      <c r="D152" s="234" t="s">
        <v>157</v>
      </c>
      <c r="E152" s="234"/>
      <c r="F152" s="234"/>
      <c r="G152" s="239">
        <f>('MATRIZ COMPLETO PROPOSTA'!L151+
  'MATRIZ COMPLETO PROPOSTA'!P151*0.25+
  'MATRIZ COMPLETO PROPOSTA'!S151*0.8)
 /
 ('MATRIZ COMPLETO PROPOSTA'!L11+
  'MATRIZ COMPLETO PROPOSTA'!P11*0.25+
  'MATRIZ COMPLETO PROPOSTA'!S11*0.8)
 *
 'DADOS BASE'!$J$93</f>
        <v>2854664.771432389</v>
      </c>
      <c r="H152" s="239"/>
      <c r="I152" s="239"/>
      <c r="J152" s="239"/>
      <c r="K152" s="239">
        <f t="shared" ref="K152:K162" si="7">J152+I152+H152+G152</f>
        <v>2854664.771432389</v>
      </c>
      <c r="L152" s="234"/>
      <c r="M152" s="239">
        <f>'MATRIZ COMPLETO PROPOSTA'!BD152+
 'MATRIZ COMPLETO PROPOSTA'!BA152+
 'MATRIZ COMPLETO PROPOSTA'!AX152+
 'MATRIZ COMPLETO PROPOSTA'!AS152+
 'MATRIZ COMPLETO PROPOSTA'!AM152</f>
        <v>0</v>
      </c>
      <c r="N152" s="234"/>
      <c r="O152" s="239"/>
      <c r="P152" s="234"/>
      <c r="Q152" s="242"/>
    </row>
    <row r="153" spans="2:17" x14ac:dyDescent="0.3">
      <c r="B153" s="230" t="s">
        <v>285</v>
      </c>
      <c r="C153" s="230" t="s">
        <v>287</v>
      </c>
      <c r="D153" s="230" t="s">
        <v>94</v>
      </c>
      <c r="G153" s="200">
        <f ca="1">'MATRIZ COMPLETO PROPOSTA'!H153</f>
        <v>3476534.6878477093</v>
      </c>
      <c r="H153" s="200"/>
      <c r="I153" s="200"/>
      <c r="J153" s="200"/>
      <c r="K153" s="200">
        <f t="shared" ca="1" si="7"/>
        <v>3476534.6878477093</v>
      </c>
      <c r="M153" s="200">
        <f>'MATRIZ COMPLETO PROPOSTA'!BD153+
 'MATRIZ COMPLETO PROPOSTA'!BA153+
 'MATRIZ COMPLETO PROPOSTA'!AX153+
 'MATRIZ COMPLETO PROPOSTA'!AS153+
 'MATRIZ COMPLETO PROPOSTA'!AM153</f>
        <v>1497156.2742678579</v>
      </c>
      <c r="O153" s="200"/>
      <c r="Q153" s="240"/>
    </row>
    <row r="154" spans="2:17" x14ac:dyDescent="0.3">
      <c r="B154" s="235" t="s">
        <v>285</v>
      </c>
      <c r="C154" s="235" t="s">
        <v>288</v>
      </c>
      <c r="D154" s="235" t="s">
        <v>94</v>
      </c>
      <c r="E154" s="236"/>
      <c r="F154" s="236"/>
      <c r="G154" s="237">
        <f ca="1">'MATRIZ COMPLETO PROPOSTA'!H154</f>
        <v>2394513.1399288606</v>
      </c>
      <c r="H154" s="237"/>
      <c r="I154" s="237"/>
      <c r="J154" s="237"/>
      <c r="K154" s="237">
        <f t="shared" ca="1" si="7"/>
        <v>2394513.1399288606</v>
      </c>
      <c r="L154" s="236"/>
      <c r="M154" s="237">
        <f>'MATRIZ COMPLETO PROPOSTA'!BD154+
 'MATRIZ COMPLETO PROPOSTA'!BA154+
 'MATRIZ COMPLETO PROPOSTA'!AX154+
 'MATRIZ COMPLETO PROPOSTA'!AS154+
 'MATRIZ COMPLETO PROPOSTA'!AM154</f>
        <v>618611.48993050586</v>
      </c>
      <c r="N154" s="236"/>
      <c r="O154" s="237"/>
      <c r="P154" s="236"/>
      <c r="Q154" s="243"/>
    </row>
    <row r="155" spans="2:17" x14ac:dyDescent="0.3">
      <c r="B155" s="230" t="s">
        <v>285</v>
      </c>
      <c r="C155" s="230" t="s">
        <v>289</v>
      </c>
      <c r="D155" s="230" t="s">
        <v>94</v>
      </c>
      <c r="G155" s="200">
        <f ca="1">'MATRIZ COMPLETO PROPOSTA'!H155</f>
        <v>1813391.9837439696</v>
      </c>
      <c r="H155" s="200"/>
      <c r="I155" s="200"/>
      <c r="J155" s="200"/>
      <c r="K155" s="200">
        <f t="shared" ca="1" si="7"/>
        <v>1813391.9837439696</v>
      </c>
      <c r="M155" s="200">
        <f>'MATRIZ COMPLETO PROPOSTA'!BD155+
 'MATRIZ COMPLETO PROPOSTA'!BA155+
 'MATRIZ COMPLETO PROPOSTA'!AX155+
 'MATRIZ COMPLETO PROPOSTA'!AS155+
 'MATRIZ COMPLETO PROPOSTA'!AM155</f>
        <v>487173.2138678804</v>
      </c>
      <c r="O155" s="200"/>
      <c r="Q155" s="240"/>
    </row>
    <row r="156" spans="2:17" x14ac:dyDescent="0.3">
      <c r="B156" s="235" t="s">
        <v>285</v>
      </c>
      <c r="C156" s="235" t="s">
        <v>290</v>
      </c>
      <c r="D156" s="235" t="s">
        <v>94</v>
      </c>
      <c r="E156" s="236"/>
      <c r="F156" s="236"/>
      <c r="G156" s="237">
        <f ca="1">'MATRIZ COMPLETO PROPOSTA'!H156</f>
        <v>1610004.6808313329</v>
      </c>
      <c r="H156" s="237"/>
      <c r="I156" s="237"/>
      <c r="J156" s="237"/>
      <c r="K156" s="237">
        <f t="shared" ca="1" si="7"/>
        <v>1610004.6808313329</v>
      </c>
      <c r="L156" s="236"/>
      <c r="M156" s="237">
        <f>'MATRIZ COMPLETO PROPOSTA'!BD156+
 'MATRIZ COMPLETO PROPOSTA'!BA156+
 'MATRIZ COMPLETO PROPOSTA'!AX156+
 'MATRIZ COMPLETO PROPOSTA'!AS156+
 'MATRIZ COMPLETO PROPOSTA'!AM156</f>
        <v>463772.80414338055</v>
      </c>
      <c r="N156" s="236"/>
      <c r="O156" s="237"/>
      <c r="P156" s="236"/>
      <c r="Q156" s="243"/>
    </row>
    <row r="157" spans="2:17" x14ac:dyDescent="0.3">
      <c r="B157" s="230" t="s">
        <v>285</v>
      </c>
      <c r="C157" s="230" t="s">
        <v>291</v>
      </c>
      <c r="D157" s="230" t="s">
        <v>92</v>
      </c>
      <c r="G157" s="200">
        <f ca="1">'MATRIZ COMPLETO PROPOSTA'!H157</f>
        <v>4387006.4701687722</v>
      </c>
      <c r="H157" s="200"/>
      <c r="I157" s="200"/>
      <c r="J157" s="200"/>
      <c r="K157" s="200">
        <f t="shared" ca="1" si="7"/>
        <v>4387006.4701687722</v>
      </c>
      <c r="M157" s="200">
        <f>'MATRIZ COMPLETO PROPOSTA'!BD157+
 'MATRIZ COMPLETO PROPOSTA'!BA157+
 'MATRIZ COMPLETO PROPOSTA'!AX157+
 'MATRIZ COMPLETO PROPOSTA'!AS157+
 'MATRIZ COMPLETO PROPOSTA'!AM157</f>
        <v>1654634.6901451498</v>
      </c>
      <c r="O157" s="200"/>
      <c r="Q157" s="240"/>
    </row>
    <row r="158" spans="2:17" x14ac:dyDescent="0.3">
      <c r="B158" s="235" t="s">
        <v>285</v>
      </c>
      <c r="C158" s="235" t="s">
        <v>292</v>
      </c>
      <c r="D158" s="235" t="s">
        <v>94</v>
      </c>
      <c r="E158" s="236"/>
      <c r="F158" s="236"/>
      <c r="G158" s="237">
        <f ca="1">'MATRIZ COMPLETO PROPOSTA'!H158</f>
        <v>1391779.1162685992</v>
      </c>
      <c r="H158" s="237"/>
      <c r="I158" s="237"/>
      <c r="J158" s="237"/>
      <c r="K158" s="237">
        <f t="shared" ca="1" si="7"/>
        <v>1391779.1162685992</v>
      </c>
      <c r="L158" s="236"/>
      <c r="M158" s="237">
        <f>'MATRIZ COMPLETO PROPOSTA'!BD158+
 'MATRIZ COMPLETO PROPOSTA'!BA158+
 'MATRIZ COMPLETO PROPOSTA'!AX158+
 'MATRIZ COMPLETO PROPOSTA'!AS158+
 'MATRIZ COMPLETO PROPOSTA'!AM158</f>
        <v>394198.41040758311</v>
      </c>
      <c r="N158" s="236"/>
      <c r="O158" s="237"/>
      <c r="P158" s="236"/>
      <c r="Q158" s="243"/>
    </row>
    <row r="159" spans="2:17" x14ac:dyDescent="0.3">
      <c r="B159" s="230" t="s">
        <v>285</v>
      </c>
      <c r="C159" s="230" t="s">
        <v>293</v>
      </c>
      <c r="D159" s="230" t="s">
        <v>94</v>
      </c>
      <c r="G159" s="200">
        <f ca="1">'MATRIZ COMPLETO PROPOSTA'!H159</f>
        <v>1602075.7748711582</v>
      </c>
      <c r="H159" s="200"/>
      <c r="I159" s="200"/>
      <c r="J159" s="200"/>
      <c r="K159" s="200">
        <f t="shared" ca="1" si="7"/>
        <v>1602075.7748711582</v>
      </c>
      <c r="M159" s="200">
        <f>'MATRIZ COMPLETO PROPOSTA'!BD159+
 'MATRIZ COMPLETO PROPOSTA'!BA159+
 'MATRIZ COMPLETO PROPOSTA'!AX159+
 'MATRIZ COMPLETO PROPOSTA'!AS159+
 'MATRIZ COMPLETO PROPOSTA'!AM159</f>
        <v>427233.56587404886</v>
      </c>
      <c r="O159" s="200"/>
      <c r="Q159" s="240"/>
    </row>
    <row r="160" spans="2:17" x14ac:dyDescent="0.3">
      <c r="B160" s="235" t="s">
        <v>285</v>
      </c>
      <c r="C160" s="235" t="s">
        <v>294</v>
      </c>
      <c r="D160" s="235" t="s">
        <v>94</v>
      </c>
      <c r="E160" s="236"/>
      <c r="F160" s="236"/>
      <c r="G160" s="237">
        <f ca="1">'MATRIZ COMPLETO PROPOSTA'!H160</f>
        <v>2495149.2378563681</v>
      </c>
      <c r="H160" s="237"/>
      <c r="I160" s="237"/>
      <c r="J160" s="237"/>
      <c r="K160" s="237">
        <f t="shared" ca="1" si="7"/>
        <v>2495149.2378563681</v>
      </c>
      <c r="L160" s="236"/>
      <c r="M160" s="237">
        <f>'MATRIZ COMPLETO PROPOSTA'!BD160+
 'MATRIZ COMPLETO PROPOSTA'!BA160+
 'MATRIZ COMPLETO PROPOSTA'!AX160+
 'MATRIZ COMPLETO PROPOSTA'!AS160+
 'MATRIZ COMPLETO PROPOSTA'!AM160</f>
        <v>711302.9998501488</v>
      </c>
      <c r="N160" s="236"/>
      <c r="O160" s="237"/>
      <c r="P160" s="236"/>
      <c r="Q160" s="243"/>
    </row>
    <row r="161" spans="2:17" x14ac:dyDescent="0.3">
      <c r="B161" s="230" t="s">
        <v>285</v>
      </c>
      <c r="C161" s="230" t="s">
        <v>295</v>
      </c>
      <c r="D161" s="230" t="s">
        <v>94</v>
      </c>
      <c r="G161" s="200">
        <f ca="1">'MATRIZ COMPLETO PROPOSTA'!H161</f>
        <v>1442093.1891879088</v>
      </c>
      <c r="H161" s="200"/>
      <c r="I161" s="200"/>
      <c r="J161" s="200"/>
      <c r="K161" s="200">
        <f t="shared" ca="1" si="7"/>
        <v>1442093.1891879088</v>
      </c>
      <c r="M161" s="200">
        <f>'MATRIZ COMPLETO PROPOSTA'!BD161+
 'MATRIZ COMPLETO PROPOSTA'!BA161+
 'MATRIZ COMPLETO PROPOSTA'!AX161+
 'MATRIZ COMPLETO PROPOSTA'!AS161+
 'MATRIZ COMPLETO PROPOSTA'!AM161</f>
        <v>546836.44473568804</v>
      </c>
      <c r="O161" s="200"/>
      <c r="Q161" s="240"/>
    </row>
    <row r="162" spans="2:17" x14ac:dyDescent="0.3">
      <c r="B162" s="235" t="s">
        <v>285</v>
      </c>
      <c r="C162" s="235" t="s">
        <v>296</v>
      </c>
      <c r="D162" s="235" t="s">
        <v>94</v>
      </c>
      <c r="E162" s="236"/>
      <c r="F162" s="236"/>
      <c r="G162" s="237">
        <f ca="1">'MATRIZ COMPLETO PROPOSTA'!H162</f>
        <v>2224769.8907544352</v>
      </c>
      <c r="H162" s="237"/>
      <c r="I162" s="237"/>
      <c r="J162" s="237"/>
      <c r="K162" s="237">
        <f t="shared" ca="1" si="7"/>
        <v>2224769.8907544352</v>
      </c>
      <c r="L162" s="236"/>
      <c r="M162" s="237">
        <f>'MATRIZ COMPLETO PROPOSTA'!BD162+
 'MATRIZ COMPLETO PROPOSTA'!BA162+
 'MATRIZ COMPLETO PROPOSTA'!AX162+
 'MATRIZ COMPLETO PROPOSTA'!AS162+
 'MATRIZ COMPLETO PROPOSTA'!AM162</f>
        <v>641026.10668980132</v>
      </c>
      <c r="N162" s="236"/>
      <c r="O162" s="237"/>
      <c r="P162" s="236"/>
      <c r="Q162" s="243"/>
    </row>
    <row r="163" spans="2:17" x14ac:dyDescent="0.3">
      <c r="G163" s="200"/>
      <c r="H163" s="200"/>
      <c r="I163" s="200"/>
      <c r="J163" s="200"/>
      <c r="K163" s="200"/>
      <c r="M163" s="200"/>
      <c r="O163" s="200"/>
      <c r="Q163" s="240"/>
    </row>
    <row r="164" spans="2:17" x14ac:dyDescent="0.3">
      <c r="B164" s="231" t="s">
        <v>297</v>
      </c>
      <c r="C164" s="231" t="s">
        <v>298</v>
      </c>
      <c r="D164" s="232" t="s">
        <v>154</v>
      </c>
      <c r="E164" s="232"/>
      <c r="F164" s="232"/>
      <c r="G164" s="238">
        <f ca="1">SUM(G165:G188)</f>
        <v>56239058.620834611</v>
      </c>
      <c r="H164" s="238">
        <f>'MATRIZ COMPLETO PROPOSTA'!Y164</f>
        <v>1665175.6230006809</v>
      </c>
      <c r="I164" s="238">
        <f>'MATRIZ COMPLETO PROPOSTA'!AA164</f>
        <v>966154.27316167101</v>
      </c>
      <c r="J164" s="238">
        <f>'MATRIZ COMPLETO PROPOSTA'!AC164</f>
        <v>2044648.7082425996</v>
      </c>
      <c r="K164" s="238">
        <f ca="1">SUM(G164:J164)</f>
        <v>60915037.225239567</v>
      </c>
      <c r="L164" s="232"/>
      <c r="M164" s="238">
        <f>SUM(M165:M188)</f>
        <v>16201319.945619233</v>
      </c>
      <c r="N164" s="232"/>
      <c r="O164" s="238">
        <f ca="1">K164*'DADOS BASE'!$I$22</f>
        <v>91372.555837859356</v>
      </c>
      <c r="P164" s="232"/>
      <c r="Q164" s="241">
        <f ca="1">SUM(H164:J164)/K164</f>
        <v>7.6762303979476254E-2</v>
      </c>
    </row>
    <row r="165" spans="2:17" x14ac:dyDescent="0.3">
      <c r="B165" s="233" t="s">
        <v>297</v>
      </c>
      <c r="C165" s="234" t="s">
        <v>156</v>
      </c>
      <c r="D165" s="234" t="s">
        <v>157</v>
      </c>
      <c r="E165" s="234"/>
      <c r="F165" s="234"/>
      <c r="G165" s="239">
        <f>('MATRIZ COMPLETO PROPOSTA'!L164+
  'MATRIZ COMPLETO PROPOSTA'!P164*0.25+
  'MATRIZ COMPLETO PROPOSTA'!S164*0.8)
 /
 ('MATRIZ COMPLETO PROPOSTA'!L11+
  'MATRIZ COMPLETO PROPOSTA'!P11*0.25+
  'MATRIZ COMPLETO PROPOSTA'!S11*0.8)
 *
 'DADOS BASE'!$J$93</f>
        <v>6171006.5134260692</v>
      </c>
      <c r="H165" s="239"/>
      <c r="I165" s="239"/>
      <c r="J165" s="239"/>
      <c r="K165" s="239">
        <f t="shared" ref="K165:K188" si="8">J165+I165+H165+G165</f>
        <v>6171006.5134260692</v>
      </c>
      <c r="L165" s="234"/>
      <c r="M165" s="239">
        <f>'MATRIZ COMPLETO PROPOSTA'!BD165+
 'MATRIZ COMPLETO PROPOSTA'!BA165+
 'MATRIZ COMPLETO PROPOSTA'!AX165+
 'MATRIZ COMPLETO PROPOSTA'!AS165+
 'MATRIZ COMPLETO PROPOSTA'!AM165</f>
        <v>0</v>
      </c>
      <c r="N165" s="234"/>
      <c r="O165" s="239"/>
      <c r="P165" s="234"/>
      <c r="Q165" s="242"/>
    </row>
    <row r="166" spans="2:17" x14ac:dyDescent="0.3">
      <c r="B166" s="235" t="s">
        <v>297</v>
      </c>
      <c r="C166" s="235" t="s">
        <v>299</v>
      </c>
      <c r="D166" s="235" t="s">
        <v>92</v>
      </c>
      <c r="E166" s="236"/>
      <c r="F166" s="236"/>
      <c r="G166" s="237">
        <f ca="1">'MATRIZ COMPLETO PROPOSTA'!H166</f>
        <v>3610465.2121374621</v>
      </c>
      <c r="H166" s="237"/>
      <c r="I166" s="237"/>
      <c r="J166" s="237"/>
      <c r="K166" s="237">
        <f t="shared" ca="1" si="8"/>
        <v>3610465.2121374621</v>
      </c>
      <c r="L166" s="236"/>
      <c r="M166" s="237">
        <f>'MATRIZ COMPLETO PROPOSTA'!BD166+
 'MATRIZ COMPLETO PROPOSTA'!BA166+
 'MATRIZ COMPLETO PROPOSTA'!AX166+
 'MATRIZ COMPLETO PROPOSTA'!AS166+
 'MATRIZ COMPLETO PROPOSTA'!AM166</f>
        <v>1385240.2843545987</v>
      </c>
      <c r="N166" s="236"/>
      <c r="O166" s="237"/>
      <c r="P166" s="236"/>
      <c r="Q166" s="243"/>
    </row>
    <row r="167" spans="2:17" x14ac:dyDescent="0.3">
      <c r="B167" s="230" t="s">
        <v>297</v>
      </c>
      <c r="C167" s="230" t="s">
        <v>300</v>
      </c>
      <c r="D167" s="230" t="s">
        <v>94</v>
      </c>
      <c r="G167" s="200">
        <f ca="1">'MATRIZ COMPLETO PROPOSTA'!H167</f>
        <v>2206904.9536641054</v>
      </c>
      <c r="H167" s="200"/>
      <c r="I167" s="200"/>
      <c r="J167" s="200"/>
      <c r="K167" s="200">
        <f t="shared" ca="1" si="8"/>
        <v>2206904.9536641054</v>
      </c>
      <c r="M167" s="200">
        <f>'MATRIZ COMPLETO PROPOSTA'!BD167+
 'MATRIZ COMPLETO PROPOSTA'!BA167+
 'MATRIZ COMPLETO PROPOSTA'!AX167+
 'MATRIZ COMPLETO PROPOSTA'!AS167+
 'MATRIZ COMPLETO PROPOSTA'!AM167</f>
        <v>542327.29734664946</v>
      </c>
      <c r="O167" s="200"/>
      <c r="Q167" s="240"/>
    </row>
    <row r="168" spans="2:17" x14ac:dyDescent="0.3">
      <c r="B168" s="235" t="s">
        <v>297</v>
      </c>
      <c r="C168" s="235" t="s">
        <v>301</v>
      </c>
      <c r="D168" s="235" t="s">
        <v>96</v>
      </c>
      <c r="E168" s="236"/>
      <c r="F168" s="236"/>
      <c r="G168" s="237">
        <f ca="1">'MATRIZ COMPLETO PROPOSTA'!H168</f>
        <v>428923.2985416975</v>
      </c>
      <c r="H168" s="237"/>
      <c r="I168" s="237"/>
      <c r="J168" s="237"/>
      <c r="K168" s="237">
        <f t="shared" ca="1" si="8"/>
        <v>428923.2985416975</v>
      </c>
      <c r="L168" s="236"/>
      <c r="M168" s="237">
        <f>'MATRIZ COMPLETO PROPOSTA'!BD168+
 'MATRIZ COMPLETO PROPOSTA'!BA168+
 'MATRIZ COMPLETO PROPOSTA'!AX168+
 'MATRIZ COMPLETO PROPOSTA'!AS168+
 'MATRIZ COMPLETO PROPOSTA'!AM168</f>
        <v>193101.57100527527</v>
      </c>
      <c r="N168" s="236"/>
      <c r="O168" s="237"/>
      <c r="P168" s="236"/>
      <c r="Q168" s="243"/>
    </row>
    <row r="169" spans="2:17" x14ac:dyDescent="0.3">
      <c r="B169" s="230" t="s">
        <v>297</v>
      </c>
      <c r="C169" s="230" t="s">
        <v>302</v>
      </c>
      <c r="D169" s="230" t="s">
        <v>94</v>
      </c>
      <c r="G169" s="200">
        <f ca="1">'MATRIZ COMPLETO PROPOSTA'!H169</f>
        <v>535592.16334261012</v>
      </c>
      <c r="H169" s="200"/>
      <c r="I169" s="200"/>
      <c r="J169" s="200"/>
      <c r="K169" s="200">
        <f t="shared" ca="1" si="8"/>
        <v>535592.16334261012</v>
      </c>
      <c r="M169" s="200">
        <f>'MATRIZ COMPLETO PROPOSTA'!BD169+
 'MATRIZ COMPLETO PROPOSTA'!BA169+
 'MATRIZ COMPLETO PROPOSTA'!AX169+
 'MATRIZ COMPLETO PROPOSTA'!AS169+
 'MATRIZ COMPLETO PROPOSTA'!AM169</f>
        <v>277336.68959545152</v>
      </c>
      <c r="O169" s="200"/>
      <c r="Q169" s="240"/>
    </row>
    <row r="170" spans="2:17" x14ac:dyDescent="0.3">
      <c r="B170" s="235" t="s">
        <v>297</v>
      </c>
      <c r="C170" s="235" t="s">
        <v>303</v>
      </c>
      <c r="D170" s="235" t="s">
        <v>94</v>
      </c>
      <c r="E170" s="236"/>
      <c r="F170" s="236"/>
      <c r="G170" s="237">
        <f ca="1">'MATRIZ COMPLETO PROPOSTA'!H170</f>
        <v>2289499.2483509141</v>
      </c>
      <c r="H170" s="237"/>
      <c r="I170" s="237"/>
      <c r="J170" s="237"/>
      <c r="K170" s="237">
        <f t="shared" ca="1" si="8"/>
        <v>2289499.2483509141</v>
      </c>
      <c r="L170" s="236"/>
      <c r="M170" s="237">
        <f>'MATRIZ COMPLETO PROPOSTA'!BD170+
 'MATRIZ COMPLETO PROPOSTA'!BA170+
 'MATRIZ COMPLETO PROPOSTA'!AX170+
 'MATRIZ COMPLETO PROPOSTA'!AS170+
 'MATRIZ COMPLETO PROPOSTA'!AM170</f>
        <v>723662.21843102144</v>
      </c>
      <c r="N170" s="236"/>
      <c r="O170" s="237"/>
      <c r="P170" s="236"/>
      <c r="Q170" s="243"/>
    </row>
    <row r="171" spans="2:17" x14ac:dyDescent="0.3">
      <c r="B171" s="230" t="s">
        <v>297</v>
      </c>
      <c r="C171" s="230" t="s">
        <v>304</v>
      </c>
      <c r="D171" s="230" t="s">
        <v>94</v>
      </c>
      <c r="G171" s="200">
        <f ca="1">'MATRIZ COMPLETO PROPOSTA'!H171</f>
        <v>2250361.900073159</v>
      </c>
      <c r="H171" s="200"/>
      <c r="I171" s="200"/>
      <c r="J171" s="200"/>
      <c r="K171" s="200">
        <f t="shared" ca="1" si="8"/>
        <v>2250361.900073159</v>
      </c>
      <c r="M171" s="200">
        <f>'MATRIZ COMPLETO PROPOSTA'!BD171+
 'MATRIZ COMPLETO PROPOSTA'!BA171+
 'MATRIZ COMPLETO PROPOSTA'!AX171+
 'MATRIZ COMPLETO PROPOSTA'!AS171+
 'MATRIZ COMPLETO PROPOSTA'!AM171</f>
        <v>839306.30530717736</v>
      </c>
      <c r="O171" s="200"/>
      <c r="Q171" s="240"/>
    </row>
    <row r="172" spans="2:17" x14ac:dyDescent="0.3">
      <c r="B172" s="235" t="s">
        <v>297</v>
      </c>
      <c r="C172" s="235" t="s">
        <v>305</v>
      </c>
      <c r="D172" s="235" t="s">
        <v>94</v>
      </c>
      <c r="E172" s="236"/>
      <c r="F172" s="236"/>
      <c r="G172" s="237">
        <f ca="1">'MATRIZ COMPLETO PROPOSTA'!H172</f>
        <v>955835.97786415718</v>
      </c>
      <c r="H172" s="237"/>
      <c r="I172" s="237"/>
      <c r="J172" s="237"/>
      <c r="K172" s="237">
        <f t="shared" ca="1" si="8"/>
        <v>955835.97786415718</v>
      </c>
      <c r="L172" s="236"/>
      <c r="M172" s="237">
        <f>'MATRIZ COMPLETO PROPOSTA'!BD172+
 'MATRIZ COMPLETO PROPOSTA'!BA172+
 'MATRIZ COMPLETO PROPOSTA'!AX172+
 'MATRIZ COMPLETO PROPOSTA'!AS172+
 'MATRIZ COMPLETO PROPOSTA'!AM172</f>
        <v>330643.57699658355</v>
      </c>
      <c r="N172" s="236"/>
      <c r="O172" s="237"/>
      <c r="P172" s="236"/>
      <c r="Q172" s="243"/>
    </row>
    <row r="173" spans="2:17" x14ac:dyDescent="0.3">
      <c r="B173" s="230" t="s">
        <v>297</v>
      </c>
      <c r="C173" s="230" t="s">
        <v>306</v>
      </c>
      <c r="D173" s="230" t="s">
        <v>94</v>
      </c>
      <c r="G173" s="200">
        <f ca="1">'MATRIZ COMPLETO PROPOSTA'!H173</f>
        <v>3683020.9974252195</v>
      </c>
      <c r="H173" s="200"/>
      <c r="I173" s="200"/>
      <c r="J173" s="200"/>
      <c r="K173" s="200">
        <f t="shared" ca="1" si="8"/>
        <v>3683020.9974252195</v>
      </c>
      <c r="M173" s="200">
        <f>'MATRIZ COMPLETO PROPOSTA'!BD173+
 'MATRIZ COMPLETO PROPOSTA'!BA173+
 'MATRIZ COMPLETO PROPOSTA'!AX173+
 'MATRIZ COMPLETO PROPOSTA'!AS173+
 'MATRIZ COMPLETO PROPOSTA'!AM173</f>
        <v>737188.45334005111</v>
      </c>
      <c r="O173" s="200"/>
      <c r="Q173" s="240"/>
    </row>
    <row r="174" spans="2:17" x14ac:dyDescent="0.3">
      <c r="B174" s="235" t="s">
        <v>297</v>
      </c>
      <c r="C174" s="235" t="s">
        <v>307</v>
      </c>
      <c r="D174" s="235" t="s">
        <v>94</v>
      </c>
      <c r="E174" s="236"/>
      <c r="F174" s="236"/>
      <c r="G174" s="237">
        <f ca="1">'MATRIZ COMPLETO PROPOSTA'!H174</f>
        <v>1681407.1793210227</v>
      </c>
      <c r="H174" s="237"/>
      <c r="I174" s="237"/>
      <c r="J174" s="237"/>
      <c r="K174" s="237">
        <f t="shared" ca="1" si="8"/>
        <v>1681407.1793210227</v>
      </c>
      <c r="L174" s="236"/>
      <c r="M174" s="237">
        <f>'MATRIZ COMPLETO PROPOSTA'!BD174+
 'MATRIZ COMPLETO PROPOSTA'!BA174+
 'MATRIZ COMPLETO PROPOSTA'!AX174+
 'MATRIZ COMPLETO PROPOSTA'!AS174+
 'MATRIZ COMPLETO PROPOSTA'!AM174</f>
        <v>606613.34515203617</v>
      </c>
      <c r="N174" s="236"/>
      <c r="O174" s="237"/>
      <c r="P174" s="236"/>
      <c r="Q174" s="243"/>
    </row>
    <row r="175" spans="2:17" x14ac:dyDescent="0.3">
      <c r="B175" s="230" t="s">
        <v>297</v>
      </c>
      <c r="C175" s="230" t="s">
        <v>308</v>
      </c>
      <c r="D175" s="230" t="s">
        <v>94</v>
      </c>
      <c r="G175" s="200">
        <f ca="1">'MATRIZ COMPLETO PROPOSTA'!H175</f>
        <v>1422834.7570297609</v>
      </c>
      <c r="H175" s="200"/>
      <c r="I175" s="200"/>
      <c r="J175" s="200"/>
      <c r="K175" s="200">
        <f t="shared" ca="1" si="8"/>
        <v>1422834.7570297609</v>
      </c>
      <c r="M175" s="200">
        <f>'MATRIZ COMPLETO PROPOSTA'!BD175+
 'MATRIZ COMPLETO PROPOSTA'!BA175+
 'MATRIZ COMPLETO PROPOSTA'!AX175+
 'MATRIZ COMPLETO PROPOSTA'!AS175+
 'MATRIZ COMPLETO PROPOSTA'!AM175</f>
        <v>515857.64523447817</v>
      </c>
      <c r="O175" s="200"/>
      <c r="Q175" s="240"/>
    </row>
    <row r="176" spans="2:17" x14ac:dyDescent="0.3">
      <c r="B176" s="235" t="s">
        <v>297</v>
      </c>
      <c r="C176" s="235" t="s">
        <v>309</v>
      </c>
      <c r="D176" s="235" t="s">
        <v>92</v>
      </c>
      <c r="E176" s="236"/>
      <c r="F176" s="236"/>
      <c r="G176" s="237">
        <f ca="1">'MATRIZ COMPLETO PROPOSTA'!H176</f>
        <v>4315526.6738644941</v>
      </c>
      <c r="H176" s="237"/>
      <c r="I176" s="237"/>
      <c r="J176" s="237"/>
      <c r="K176" s="237">
        <f t="shared" ca="1" si="8"/>
        <v>4315526.6738644941</v>
      </c>
      <c r="L176" s="236"/>
      <c r="M176" s="237">
        <f>'MATRIZ COMPLETO PROPOSTA'!BD176+
 'MATRIZ COMPLETO PROPOSTA'!BA176+
 'MATRIZ COMPLETO PROPOSTA'!AX176+
 'MATRIZ COMPLETO PROPOSTA'!AS176+
 'MATRIZ COMPLETO PROPOSTA'!AM176</f>
        <v>1929377.9124323137</v>
      </c>
      <c r="N176" s="236"/>
      <c r="O176" s="237"/>
      <c r="P176" s="236"/>
      <c r="Q176" s="243"/>
    </row>
    <row r="177" spans="2:17" x14ac:dyDescent="0.3">
      <c r="B177" s="230" t="s">
        <v>297</v>
      </c>
      <c r="C177" s="230" t="s">
        <v>310</v>
      </c>
      <c r="D177" s="230" t="s">
        <v>94</v>
      </c>
      <c r="G177" s="200">
        <f ca="1">'MATRIZ COMPLETO PROPOSTA'!H177</f>
        <v>1762908.9141422829</v>
      </c>
      <c r="H177" s="200"/>
      <c r="I177" s="200"/>
      <c r="J177" s="200"/>
      <c r="K177" s="200">
        <f t="shared" ca="1" si="8"/>
        <v>1762908.9141422829</v>
      </c>
      <c r="M177" s="200">
        <f>'MATRIZ COMPLETO PROPOSTA'!BD177+
 'MATRIZ COMPLETO PROPOSTA'!BA177+
 'MATRIZ COMPLETO PROPOSTA'!AX177+
 'MATRIZ COMPLETO PROPOSTA'!AS177+
 'MATRIZ COMPLETO PROPOSTA'!AM177</f>
        <v>540735.39219525491</v>
      </c>
      <c r="O177" s="200"/>
      <c r="Q177" s="240"/>
    </row>
    <row r="178" spans="2:17" x14ac:dyDescent="0.3">
      <c r="B178" s="235" t="s">
        <v>297</v>
      </c>
      <c r="C178" s="235" t="s">
        <v>311</v>
      </c>
      <c r="D178" s="235" t="s">
        <v>92</v>
      </c>
      <c r="E178" s="236"/>
      <c r="F178" s="236"/>
      <c r="G178" s="237">
        <f ca="1">'MATRIZ COMPLETO PROPOSTA'!H178</f>
        <v>1491726.9110247539</v>
      </c>
      <c r="H178" s="237"/>
      <c r="I178" s="237"/>
      <c r="J178" s="237"/>
      <c r="K178" s="237">
        <f t="shared" ca="1" si="8"/>
        <v>1491726.9110247539</v>
      </c>
      <c r="L178" s="236"/>
      <c r="M178" s="237">
        <f>'MATRIZ COMPLETO PROPOSTA'!BD178+
 'MATRIZ COMPLETO PROPOSTA'!BA178+
 'MATRIZ COMPLETO PROPOSTA'!AX178+
 'MATRIZ COMPLETO PROPOSTA'!AS178+
 'MATRIZ COMPLETO PROPOSTA'!AM178</f>
        <v>489876.95408908057</v>
      </c>
      <c r="N178" s="236"/>
      <c r="O178" s="237"/>
      <c r="P178" s="236"/>
      <c r="Q178" s="243"/>
    </row>
    <row r="179" spans="2:17" x14ac:dyDescent="0.3">
      <c r="B179" s="230" t="s">
        <v>297</v>
      </c>
      <c r="C179" s="230" t="s">
        <v>312</v>
      </c>
      <c r="D179" s="230" t="s">
        <v>94</v>
      </c>
      <c r="G179" s="200">
        <f ca="1">'MATRIZ COMPLETO PROPOSTA'!H179</f>
        <v>1710020.0692985654</v>
      </c>
      <c r="H179" s="200"/>
      <c r="I179" s="200"/>
      <c r="J179" s="200"/>
      <c r="K179" s="200">
        <f t="shared" ca="1" si="8"/>
        <v>1710020.0692985654</v>
      </c>
      <c r="M179" s="200">
        <f>'MATRIZ COMPLETO PROPOSTA'!BD179+
 'MATRIZ COMPLETO PROPOSTA'!BA179+
 'MATRIZ COMPLETO PROPOSTA'!AX179+
 'MATRIZ COMPLETO PROPOSTA'!AS179+
 'MATRIZ COMPLETO PROPOSTA'!AM179</f>
        <v>565109.59403473802</v>
      </c>
      <c r="O179" s="200"/>
      <c r="Q179" s="240"/>
    </row>
    <row r="180" spans="2:17" x14ac:dyDescent="0.3">
      <c r="B180" s="235" t="s">
        <v>297</v>
      </c>
      <c r="C180" s="235" t="s">
        <v>313</v>
      </c>
      <c r="D180" s="235" t="s">
        <v>94</v>
      </c>
      <c r="E180" s="236"/>
      <c r="F180" s="236"/>
      <c r="G180" s="237">
        <f ca="1">'MATRIZ COMPLETO PROPOSTA'!H180</f>
        <v>2290493.8618155676</v>
      </c>
      <c r="H180" s="237"/>
      <c r="I180" s="237"/>
      <c r="J180" s="237"/>
      <c r="K180" s="237">
        <f t="shared" ca="1" si="8"/>
        <v>2290493.8618155676</v>
      </c>
      <c r="L180" s="236"/>
      <c r="M180" s="237">
        <f>'MATRIZ COMPLETO PROPOSTA'!BD180+
 'MATRIZ COMPLETO PROPOSTA'!BA180+
 'MATRIZ COMPLETO PROPOSTA'!AX180+
 'MATRIZ COMPLETO PROPOSTA'!AS180+
 'MATRIZ COMPLETO PROPOSTA'!AM180</f>
        <v>430849.67344140669</v>
      </c>
      <c r="N180" s="236"/>
      <c r="O180" s="237"/>
      <c r="P180" s="236"/>
      <c r="Q180" s="243"/>
    </row>
    <row r="181" spans="2:17" x14ac:dyDescent="0.3">
      <c r="B181" s="230" t="s">
        <v>297</v>
      </c>
      <c r="C181" s="230" t="s">
        <v>314</v>
      </c>
      <c r="D181" s="230" t="s">
        <v>94</v>
      </c>
      <c r="G181" s="200">
        <f ca="1">'MATRIZ COMPLETO PROPOSTA'!H181</f>
        <v>700000</v>
      </c>
      <c r="H181" s="200"/>
      <c r="I181" s="200"/>
      <c r="J181" s="200"/>
      <c r="K181" s="200">
        <f t="shared" ca="1" si="8"/>
        <v>700000</v>
      </c>
      <c r="M181" s="200">
        <f>'MATRIZ COMPLETO PROPOSTA'!BD181+
 'MATRIZ COMPLETO PROPOSTA'!BA181+
 'MATRIZ COMPLETO PROPOSTA'!AX181+
 'MATRIZ COMPLETO PROPOSTA'!AS181+
 'MATRIZ COMPLETO PROPOSTA'!AM181</f>
        <v>0</v>
      </c>
      <c r="O181" s="200"/>
      <c r="Q181" s="240"/>
    </row>
    <row r="182" spans="2:17" x14ac:dyDescent="0.3">
      <c r="B182" s="235" t="s">
        <v>297</v>
      </c>
      <c r="C182" s="235" t="s">
        <v>315</v>
      </c>
      <c r="D182" s="235" t="s">
        <v>92</v>
      </c>
      <c r="E182" s="236"/>
      <c r="F182" s="236"/>
      <c r="G182" s="237">
        <f ca="1">'MATRIZ COMPLETO PROPOSTA'!H182</f>
        <v>2870118.8320123595</v>
      </c>
      <c r="H182" s="237"/>
      <c r="I182" s="237"/>
      <c r="J182" s="237"/>
      <c r="K182" s="237">
        <f t="shared" ca="1" si="8"/>
        <v>2870118.8320123595</v>
      </c>
      <c r="L182" s="236"/>
      <c r="M182" s="237">
        <f>'MATRIZ COMPLETO PROPOSTA'!BD182+
 'MATRIZ COMPLETO PROPOSTA'!BA182+
 'MATRIZ COMPLETO PROPOSTA'!AX182+
 'MATRIZ COMPLETO PROPOSTA'!AS182+
 'MATRIZ COMPLETO PROPOSTA'!AM182</f>
        <v>2060045.9525639799</v>
      </c>
      <c r="N182" s="236"/>
      <c r="O182" s="237"/>
      <c r="P182" s="236"/>
      <c r="Q182" s="243"/>
    </row>
    <row r="183" spans="2:17" x14ac:dyDescent="0.3">
      <c r="B183" s="230" t="s">
        <v>297</v>
      </c>
      <c r="C183" s="230" t="s">
        <v>316</v>
      </c>
      <c r="D183" s="230" t="s">
        <v>94</v>
      </c>
      <c r="G183" s="200">
        <f ca="1">'MATRIZ COMPLETO PROPOSTA'!H183</f>
        <v>1312854.4709779571</v>
      </c>
      <c r="H183" s="200"/>
      <c r="I183" s="200"/>
      <c r="J183" s="200"/>
      <c r="K183" s="200">
        <f t="shared" ca="1" si="8"/>
        <v>1312854.4709779571</v>
      </c>
      <c r="M183" s="200">
        <f>'MATRIZ COMPLETO PROPOSTA'!BD183+
 'MATRIZ COMPLETO PROPOSTA'!BA183+
 'MATRIZ COMPLETO PROPOSTA'!AX183+
 'MATRIZ COMPLETO PROPOSTA'!AS183+
 'MATRIZ COMPLETO PROPOSTA'!AM183</f>
        <v>304812.81462777691</v>
      </c>
      <c r="O183" s="200"/>
      <c r="Q183" s="240"/>
    </row>
    <row r="184" spans="2:17" x14ac:dyDescent="0.3">
      <c r="B184" s="235" t="s">
        <v>297</v>
      </c>
      <c r="C184" s="235" t="s">
        <v>317</v>
      </c>
      <c r="D184" s="235" t="s">
        <v>94</v>
      </c>
      <c r="E184" s="236"/>
      <c r="F184" s="236"/>
      <c r="G184" s="237">
        <f ca="1">'MATRIZ COMPLETO PROPOSTA'!H184</f>
        <v>2115802.9219633033</v>
      </c>
      <c r="H184" s="237"/>
      <c r="I184" s="237"/>
      <c r="J184" s="237"/>
      <c r="K184" s="237">
        <f t="shared" ca="1" si="8"/>
        <v>2115802.9219633033</v>
      </c>
      <c r="L184" s="236"/>
      <c r="M184" s="237">
        <f>'MATRIZ COMPLETO PROPOSTA'!BD184+
 'MATRIZ COMPLETO PROPOSTA'!BA184+
 'MATRIZ COMPLETO PROPOSTA'!AX184+
 'MATRIZ COMPLETO PROPOSTA'!AS184+
 'MATRIZ COMPLETO PROPOSTA'!AM184</f>
        <v>528470.77606298262</v>
      </c>
      <c r="N184" s="236"/>
      <c r="O184" s="237"/>
      <c r="P184" s="236"/>
      <c r="Q184" s="243"/>
    </row>
    <row r="185" spans="2:17" x14ac:dyDescent="0.3">
      <c r="B185" s="230" t="s">
        <v>297</v>
      </c>
      <c r="C185" s="230" t="s">
        <v>318</v>
      </c>
      <c r="D185" s="230" t="s">
        <v>94</v>
      </c>
      <c r="G185" s="200">
        <f ca="1">'MATRIZ COMPLETO PROPOSTA'!H185</f>
        <v>2223883.4192579342</v>
      </c>
      <c r="H185" s="200"/>
      <c r="I185" s="200"/>
      <c r="J185" s="200"/>
      <c r="K185" s="200">
        <f t="shared" ca="1" si="8"/>
        <v>2223883.4192579342</v>
      </c>
      <c r="M185" s="200">
        <f>'MATRIZ COMPLETO PROPOSTA'!BD185+
 'MATRIZ COMPLETO PROPOSTA'!BA185+
 'MATRIZ COMPLETO PROPOSTA'!AX185+
 'MATRIZ COMPLETO PROPOSTA'!AS185+
 'MATRIZ COMPLETO PROPOSTA'!AM185</f>
        <v>699180.9845926665</v>
      </c>
      <c r="O185" s="200"/>
      <c r="Q185" s="240"/>
    </row>
    <row r="186" spans="2:17" x14ac:dyDescent="0.3">
      <c r="B186" s="235" t="s">
        <v>297</v>
      </c>
      <c r="C186" s="235" t="s">
        <v>319</v>
      </c>
      <c r="D186" s="235" t="s">
        <v>94</v>
      </c>
      <c r="E186" s="236"/>
      <c r="F186" s="236"/>
      <c r="G186" s="237">
        <f ca="1">'MATRIZ COMPLETO PROPOSTA'!H186</f>
        <v>2409212.8266076343</v>
      </c>
      <c r="H186" s="237"/>
      <c r="I186" s="237"/>
      <c r="J186" s="237"/>
      <c r="K186" s="237">
        <f t="shared" ca="1" si="8"/>
        <v>2409212.8266076343</v>
      </c>
      <c r="L186" s="236"/>
      <c r="M186" s="237">
        <f>'MATRIZ COMPLETO PROPOSTA'!BD186+
 'MATRIZ COMPLETO PROPOSTA'!BA186+
 'MATRIZ COMPLETO PROPOSTA'!AX186+
 'MATRIZ COMPLETO PROPOSTA'!AS186+
 'MATRIZ COMPLETO PROPOSTA'!AM186</f>
        <v>635500.19642972446</v>
      </c>
      <c r="N186" s="236"/>
      <c r="O186" s="237"/>
      <c r="P186" s="236"/>
      <c r="Q186" s="243"/>
    </row>
    <row r="187" spans="2:17" x14ac:dyDescent="0.3">
      <c r="B187" s="230" t="s">
        <v>297</v>
      </c>
      <c r="C187" s="230" t="s">
        <v>320</v>
      </c>
      <c r="D187" s="230" t="s">
        <v>94</v>
      </c>
      <c r="G187" s="200">
        <f ca="1">'MATRIZ COMPLETO PROPOSTA'!H187</f>
        <v>7339883.1805200893</v>
      </c>
      <c r="H187" s="200"/>
      <c r="I187" s="200"/>
      <c r="J187" s="200"/>
      <c r="K187" s="200">
        <f t="shared" ca="1" si="8"/>
        <v>7339883.1805200893</v>
      </c>
      <c r="M187" s="200">
        <f>'MATRIZ COMPLETO PROPOSTA'!BD187+
 'MATRIZ COMPLETO PROPOSTA'!BA187+
 'MATRIZ COMPLETO PROPOSTA'!AX187+
 'MATRIZ COMPLETO PROPOSTA'!AS187+
 'MATRIZ COMPLETO PROPOSTA'!AM187</f>
        <v>1797446.7916079392</v>
      </c>
      <c r="O187" s="200"/>
      <c r="Q187" s="240"/>
    </row>
    <row r="188" spans="2:17" x14ac:dyDescent="0.3">
      <c r="B188" s="235" t="s">
        <v>297</v>
      </c>
      <c r="C188" s="235" t="s">
        <v>321</v>
      </c>
      <c r="D188" s="235" t="s">
        <v>209</v>
      </c>
      <c r="E188" s="236"/>
      <c r="F188" s="236"/>
      <c r="G188" s="237">
        <f ca="1">'MATRIZ COMPLETO PROPOSTA'!H188</f>
        <v>460774.3381734966</v>
      </c>
      <c r="H188" s="237"/>
      <c r="I188" s="237"/>
      <c r="J188" s="237"/>
      <c r="K188" s="237">
        <f t="shared" ca="1" si="8"/>
        <v>460774.3381734966</v>
      </c>
      <c r="L188" s="236"/>
      <c r="M188" s="237">
        <f>'MATRIZ COMPLETO PROPOSTA'!BD188+
 'MATRIZ COMPLETO PROPOSTA'!BA188+
 'MATRIZ COMPLETO PROPOSTA'!AX188+
 'MATRIZ COMPLETO PROPOSTA'!AS188+
 'MATRIZ COMPLETO PROPOSTA'!AM188</f>
        <v>68635.516778044723</v>
      </c>
      <c r="N188" s="236"/>
      <c r="O188" s="237"/>
      <c r="P188" s="236"/>
      <c r="Q188" s="243"/>
    </row>
    <row r="189" spans="2:17" x14ac:dyDescent="0.3">
      <c r="G189" s="200"/>
      <c r="H189" s="200"/>
      <c r="I189" s="200"/>
      <c r="J189" s="200"/>
      <c r="K189" s="200"/>
      <c r="M189" s="200"/>
      <c r="O189" s="200"/>
      <c r="Q189" s="240"/>
    </row>
    <row r="190" spans="2:17" x14ac:dyDescent="0.3">
      <c r="B190" s="231" t="s">
        <v>322</v>
      </c>
      <c r="C190" s="231" t="s">
        <v>323</v>
      </c>
      <c r="D190" s="232" t="s">
        <v>154</v>
      </c>
      <c r="E190" s="232"/>
      <c r="F190" s="232"/>
      <c r="G190" s="238">
        <f ca="1">SUM(G191:G205)</f>
        <v>33486573.593670327</v>
      </c>
      <c r="H190" s="238">
        <f>'MATRIZ COMPLETO PROPOSTA'!Y190</f>
        <v>705790.03470304084</v>
      </c>
      <c r="I190" s="238">
        <f>'MATRIZ COMPLETO PROPOSTA'!AA190</f>
        <v>0</v>
      </c>
      <c r="J190" s="238">
        <f>'MATRIZ COMPLETO PROPOSTA'!AC190</f>
        <v>2550379.1916453349</v>
      </c>
      <c r="K190" s="238">
        <f ca="1">SUM(G190:J190)</f>
        <v>36742742.820018701</v>
      </c>
      <c r="L190" s="232"/>
      <c r="M190" s="238">
        <f>SUM(M191:M205)</f>
        <v>6288284.0160157355</v>
      </c>
      <c r="N190" s="232"/>
      <c r="O190" s="238">
        <f ca="1">K190*'DADOS BASE'!$I$22</f>
        <v>55114.114230028055</v>
      </c>
      <c r="P190" s="232"/>
      <c r="Q190" s="241">
        <f ca="1">SUM(H190:J190)/K190</f>
        <v>8.8620744572566412E-2</v>
      </c>
    </row>
    <row r="191" spans="2:17" x14ac:dyDescent="0.3">
      <c r="B191" s="233" t="s">
        <v>322</v>
      </c>
      <c r="C191" s="234" t="s">
        <v>156</v>
      </c>
      <c r="D191" s="234" t="s">
        <v>157</v>
      </c>
      <c r="E191" s="234"/>
      <c r="F191" s="234"/>
      <c r="G191" s="239">
        <f>('MATRIZ COMPLETO PROPOSTA'!L190+
  'MATRIZ COMPLETO PROPOSTA'!P190*0.25+
  'MATRIZ COMPLETO PROPOSTA'!S190*0.8)
 /
 ('MATRIZ COMPLETO PROPOSTA'!L11+
  'MATRIZ COMPLETO PROPOSTA'!P11*0.25+
  'MATRIZ COMPLETO PROPOSTA'!S11*0.8)
 *
 'DADOS BASE'!$J$93</f>
        <v>3720730.3992967028</v>
      </c>
      <c r="H191" s="239"/>
      <c r="I191" s="239"/>
      <c r="J191" s="239"/>
      <c r="K191" s="239">
        <f t="shared" ref="K191:K205" si="9">J191+I191+H191+G191</f>
        <v>3720730.3992967028</v>
      </c>
      <c r="L191" s="234"/>
      <c r="M191" s="239">
        <f>'MATRIZ COMPLETO PROPOSTA'!BD191+
 'MATRIZ COMPLETO PROPOSTA'!BA191+
 'MATRIZ COMPLETO PROPOSTA'!AX191+
 'MATRIZ COMPLETO PROPOSTA'!AS191+
 'MATRIZ COMPLETO PROPOSTA'!AM191</f>
        <v>0</v>
      </c>
      <c r="N191" s="234"/>
      <c r="O191" s="239"/>
      <c r="P191" s="234"/>
      <c r="Q191" s="242"/>
    </row>
    <row r="192" spans="2:17" x14ac:dyDescent="0.3">
      <c r="B192" s="235" t="s">
        <v>322</v>
      </c>
      <c r="C192" s="235" t="s">
        <v>324</v>
      </c>
      <c r="D192" s="235" t="s">
        <v>94</v>
      </c>
      <c r="E192" s="236"/>
      <c r="F192" s="236"/>
      <c r="G192" s="237">
        <f ca="1">'MATRIZ COMPLETO PROPOSTA'!H192</f>
        <v>1001656.706883318</v>
      </c>
      <c r="H192" s="237"/>
      <c r="I192" s="237"/>
      <c r="J192" s="237"/>
      <c r="K192" s="237">
        <f t="shared" ca="1" si="9"/>
        <v>1001656.706883318</v>
      </c>
      <c r="L192" s="236"/>
      <c r="M192" s="237">
        <f>'MATRIZ COMPLETO PROPOSTA'!BD192+
 'MATRIZ COMPLETO PROPOSTA'!BA192+
 'MATRIZ COMPLETO PROPOSTA'!AX192+
 'MATRIZ COMPLETO PROPOSTA'!AS192+
 'MATRIZ COMPLETO PROPOSTA'!AM192</f>
        <v>302688.22769783286</v>
      </c>
      <c r="N192" s="236"/>
      <c r="O192" s="237"/>
      <c r="P192" s="236"/>
      <c r="Q192" s="243"/>
    </row>
    <row r="193" spans="2:17" x14ac:dyDescent="0.3">
      <c r="B193" s="230" t="s">
        <v>322</v>
      </c>
      <c r="C193" s="230" t="s">
        <v>325</v>
      </c>
      <c r="D193" s="230" t="s">
        <v>94</v>
      </c>
      <c r="G193" s="200">
        <f ca="1">'MATRIZ COMPLETO PROPOSTA'!H193</f>
        <v>2425830.6068378463</v>
      </c>
      <c r="H193" s="200"/>
      <c r="I193" s="200"/>
      <c r="J193" s="200"/>
      <c r="K193" s="200">
        <f t="shared" ca="1" si="9"/>
        <v>2425830.6068378463</v>
      </c>
      <c r="M193" s="200">
        <f>'MATRIZ COMPLETO PROPOSTA'!BD193+
 'MATRIZ COMPLETO PROPOSTA'!BA193+
 'MATRIZ COMPLETO PROPOSTA'!AX193+
 'MATRIZ COMPLETO PROPOSTA'!AS193+
 'MATRIZ COMPLETO PROPOSTA'!AM193</f>
        <v>744520.06972319074</v>
      </c>
      <c r="O193" s="200"/>
      <c r="Q193" s="240"/>
    </row>
    <row r="194" spans="2:17" x14ac:dyDescent="0.3">
      <c r="B194" s="235" t="s">
        <v>322</v>
      </c>
      <c r="C194" s="235" t="s">
        <v>326</v>
      </c>
      <c r="D194" s="235" t="s">
        <v>94</v>
      </c>
      <c r="E194" s="236"/>
      <c r="F194" s="236"/>
      <c r="G194" s="237">
        <f ca="1">'MATRIZ COMPLETO PROPOSTA'!H194</f>
        <v>2029833.7499396671</v>
      </c>
      <c r="H194" s="237"/>
      <c r="I194" s="237"/>
      <c r="J194" s="237"/>
      <c r="K194" s="237">
        <f t="shared" ca="1" si="9"/>
        <v>2029833.7499396671</v>
      </c>
      <c r="L194" s="236"/>
      <c r="M194" s="237">
        <f>'MATRIZ COMPLETO PROPOSTA'!BD194+
 'MATRIZ COMPLETO PROPOSTA'!BA194+
 'MATRIZ COMPLETO PROPOSTA'!AX194+
 'MATRIZ COMPLETO PROPOSTA'!AS194+
 'MATRIZ COMPLETO PROPOSTA'!AM194</f>
        <v>349991.35677544307</v>
      </c>
      <c r="N194" s="236"/>
      <c r="O194" s="237"/>
      <c r="P194" s="236"/>
      <c r="Q194" s="243"/>
    </row>
    <row r="195" spans="2:17" x14ac:dyDescent="0.3">
      <c r="B195" s="230" t="s">
        <v>322</v>
      </c>
      <c r="C195" s="230" t="s">
        <v>327</v>
      </c>
      <c r="D195" s="230" t="s">
        <v>94</v>
      </c>
      <c r="G195" s="200">
        <f ca="1">'MATRIZ COMPLETO PROPOSTA'!H195</f>
        <v>1346427.2410037743</v>
      </c>
      <c r="H195" s="200"/>
      <c r="I195" s="200"/>
      <c r="J195" s="200"/>
      <c r="K195" s="200">
        <f t="shared" ca="1" si="9"/>
        <v>1346427.2410037743</v>
      </c>
      <c r="M195" s="200">
        <f>'MATRIZ COMPLETO PROPOSTA'!BD195+
 'MATRIZ COMPLETO PROPOSTA'!BA195+
 'MATRIZ COMPLETO PROPOSTA'!AX195+
 'MATRIZ COMPLETO PROPOSTA'!AS195+
 'MATRIZ COMPLETO PROPOSTA'!AM195</f>
        <v>189008.22622918803</v>
      </c>
      <c r="O195" s="200"/>
      <c r="Q195" s="240"/>
    </row>
    <row r="196" spans="2:17" x14ac:dyDescent="0.3">
      <c r="B196" s="235" t="s">
        <v>322</v>
      </c>
      <c r="C196" s="235" t="s">
        <v>328</v>
      </c>
      <c r="D196" s="235" t="s">
        <v>94</v>
      </c>
      <c r="E196" s="236"/>
      <c r="F196" s="236"/>
      <c r="G196" s="237">
        <f ca="1">'MATRIZ COMPLETO PROPOSTA'!H196</f>
        <v>1855942.8705767319</v>
      </c>
      <c r="H196" s="237"/>
      <c r="I196" s="237"/>
      <c r="J196" s="237"/>
      <c r="K196" s="237">
        <f t="shared" ca="1" si="9"/>
        <v>1855942.8705767319</v>
      </c>
      <c r="L196" s="236"/>
      <c r="M196" s="237">
        <f>'MATRIZ COMPLETO PROPOSTA'!BD196+
 'MATRIZ COMPLETO PROPOSTA'!BA196+
 'MATRIZ COMPLETO PROPOSTA'!AX196+
 'MATRIZ COMPLETO PROPOSTA'!AS196+
 'MATRIZ COMPLETO PROPOSTA'!AM196</f>
        <v>276447.27217325009</v>
      </c>
      <c r="N196" s="236"/>
      <c r="O196" s="237"/>
      <c r="P196" s="236"/>
      <c r="Q196" s="243"/>
    </row>
    <row r="197" spans="2:17" x14ac:dyDescent="0.3">
      <c r="B197" s="230" t="s">
        <v>322</v>
      </c>
      <c r="C197" s="230" t="s">
        <v>329</v>
      </c>
      <c r="D197" s="230" t="s">
        <v>94</v>
      </c>
      <c r="G197" s="200">
        <f ca="1">'MATRIZ COMPLETO PROPOSTA'!H197</f>
        <v>7731665.9846272264</v>
      </c>
      <c r="H197" s="200"/>
      <c r="I197" s="200"/>
      <c r="J197" s="200"/>
      <c r="K197" s="200">
        <f t="shared" ca="1" si="9"/>
        <v>7731665.9846272264</v>
      </c>
      <c r="M197" s="200">
        <f>'MATRIZ COMPLETO PROPOSTA'!BD197+
 'MATRIZ COMPLETO PROPOSTA'!BA197+
 'MATRIZ COMPLETO PROPOSTA'!AX197+
 'MATRIZ COMPLETO PROPOSTA'!AS197+
 'MATRIZ COMPLETO PROPOSTA'!AM197</f>
        <v>1520125.9998011163</v>
      </c>
      <c r="O197" s="200"/>
      <c r="Q197" s="240"/>
    </row>
    <row r="198" spans="2:17" x14ac:dyDescent="0.3">
      <c r="B198" s="235" t="s">
        <v>322</v>
      </c>
      <c r="C198" s="235" t="s">
        <v>330</v>
      </c>
      <c r="D198" s="235" t="s">
        <v>94</v>
      </c>
      <c r="E198" s="236"/>
      <c r="F198" s="236"/>
      <c r="G198" s="237">
        <f ca="1">'MATRIZ COMPLETO PROPOSTA'!H198</f>
        <v>1260698.6771555238</v>
      </c>
      <c r="H198" s="237"/>
      <c r="I198" s="237"/>
      <c r="J198" s="237"/>
      <c r="K198" s="237">
        <f t="shared" ca="1" si="9"/>
        <v>1260698.6771555238</v>
      </c>
      <c r="L198" s="236"/>
      <c r="M198" s="237">
        <f>'MATRIZ COMPLETO PROPOSTA'!BD198+
 'MATRIZ COMPLETO PROPOSTA'!BA198+
 'MATRIZ COMPLETO PROPOSTA'!AX198+
 'MATRIZ COMPLETO PROPOSTA'!AS198+
 'MATRIZ COMPLETO PROPOSTA'!AM198</f>
        <v>300564.02553798852</v>
      </c>
      <c r="N198" s="236"/>
      <c r="O198" s="237"/>
      <c r="P198" s="236"/>
      <c r="Q198" s="243"/>
    </row>
    <row r="199" spans="2:17" x14ac:dyDescent="0.3">
      <c r="B199" s="230" t="s">
        <v>322</v>
      </c>
      <c r="C199" s="230" t="s">
        <v>331</v>
      </c>
      <c r="D199" s="230" t="s">
        <v>94</v>
      </c>
      <c r="G199" s="200">
        <f ca="1">'MATRIZ COMPLETO PROPOSTA'!H199</f>
        <v>1733545.9987680372</v>
      </c>
      <c r="H199" s="200"/>
      <c r="I199" s="200"/>
      <c r="J199" s="200"/>
      <c r="K199" s="200">
        <f t="shared" ca="1" si="9"/>
        <v>1733545.9987680372</v>
      </c>
      <c r="M199" s="200">
        <f>'MATRIZ COMPLETO PROPOSTA'!BD199+
 'MATRIZ COMPLETO PROPOSTA'!BA199+
 'MATRIZ COMPLETO PROPOSTA'!AX199+
 'MATRIZ COMPLETO PROPOSTA'!AS199+
 'MATRIZ COMPLETO PROPOSTA'!AM199</f>
        <v>391196.96249844832</v>
      </c>
      <c r="O199" s="200"/>
      <c r="Q199" s="240"/>
    </row>
    <row r="200" spans="2:17" x14ac:dyDescent="0.3">
      <c r="B200" s="235" t="s">
        <v>322</v>
      </c>
      <c r="C200" s="235" t="s">
        <v>332</v>
      </c>
      <c r="D200" s="235" t="s">
        <v>94</v>
      </c>
      <c r="E200" s="236"/>
      <c r="F200" s="236"/>
      <c r="G200" s="237">
        <f ca="1">'MATRIZ COMPLETO PROPOSTA'!H200</f>
        <v>1887070.2117550676</v>
      </c>
      <c r="H200" s="237"/>
      <c r="I200" s="237"/>
      <c r="J200" s="237"/>
      <c r="K200" s="237">
        <f t="shared" ca="1" si="9"/>
        <v>1887070.2117550676</v>
      </c>
      <c r="L200" s="236"/>
      <c r="M200" s="237">
        <f>'MATRIZ COMPLETO PROPOSTA'!BD200+
 'MATRIZ COMPLETO PROPOSTA'!BA200+
 'MATRIZ COMPLETO PROPOSTA'!AX200+
 'MATRIZ COMPLETO PROPOSTA'!AS200+
 'MATRIZ COMPLETO PROPOSTA'!AM200</f>
        <v>415118.27933086141</v>
      </c>
      <c r="N200" s="236"/>
      <c r="O200" s="237"/>
      <c r="P200" s="236"/>
      <c r="Q200" s="243"/>
    </row>
    <row r="201" spans="2:17" x14ac:dyDescent="0.3">
      <c r="B201" s="230" t="s">
        <v>322</v>
      </c>
      <c r="C201" s="230" t="s">
        <v>333</v>
      </c>
      <c r="D201" s="230" t="s">
        <v>94</v>
      </c>
      <c r="G201" s="200">
        <f ca="1">'MATRIZ COMPLETO PROPOSTA'!H201</f>
        <v>2144389.9494502638</v>
      </c>
      <c r="H201" s="200"/>
      <c r="I201" s="200"/>
      <c r="J201" s="200"/>
      <c r="K201" s="200">
        <f t="shared" ca="1" si="9"/>
        <v>2144389.9494502638</v>
      </c>
      <c r="M201" s="200">
        <f>'MATRIZ COMPLETO PROPOSTA'!BD201+
 'MATRIZ COMPLETO PROPOSTA'!BA201+
 'MATRIZ COMPLETO PROPOSTA'!AX201+
 'MATRIZ COMPLETO PROPOSTA'!AS201+
 'MATRIZ COMPLETO PROPOSTA'!AM201</f>
        <v>567485.32587731665</v>
      </c>
      <c r="O201" s="200"/>
      <c r="Q201" s="240"/>
    </row>
    <row r="202" spans="2:17" x14ac:dyDescent="0.3">
      <c r="B202" s="235" t="s">
        <v>322</v>
      </c>
      <c r="C202" s="235" t="s">
        <v>334</v>
      </c>
      <c r="D202" s="235" t="s">
        <v>94</v>
      </c>
      <c r="E202" s="236"/>
      <c r="F202" s="236"/>
      <c r="G202" s="237">
        <f ca="1">'MATRIZ COMPLETO PROPOSTA'!H202</f>
        <v>1842538.7137430348</v>
      </c>
      <c r="H202" s="237"/>
      <c r="I202" s="237"/>
      <c r="J202" s="237"/>
      <c r="K202" s="237">
        <f t="shared" ca="1" si="9"/>
        <v>1842538.7137430348</v>
      </c>
      <c r="L202" s="236"/>
      <c r="M202" s="237">
        <f>'MATRIZ COMPLETO PROPOSTA'!BD202+
 'MATRIZ COMPLETO PROPOSTA'!BA202+
 'MATRIZ COMPLETO PROPOSTA'!AX202+
 'MATRIZ COMPLETO PROPOSTA'!AS202+
 'MATRIZ COMPLETO PROPOSTA'!AM202</f>
        <v>264091.78820379468</v>
      </c>
      <c r="N202" s="236"/>
      <c r="O202" s="237"/>
      <c r="P202" s="236"/>
      <c r="Q202" s="243"/>
    </row>
    <row r="203" spans="2:17" x14ac:dyDescent="0.3">
      <c r="B203" s="230" t="s">
        <v>322</v>
      </c>
      <c r="C203" s="230" t="s">
        <v>335</v>
      </c>
      <c r="D203" s="230" t="s">
        <v>94</v>
      </c>
      <c r="G203" s="200">
        <f ca="1">'MATRIZ COMPLETO PROPOSTA'!H203</f>
        <v>1176181.5224133264</v>
      </c>
      <c r="H203" s="200"/>
      <c r="I203" s="200"/>
      <c r="J203" s="200"/>
      <c r="K203" s="200">
        <f t="shared" ca="1" si="9"/>
        <v>1176181.5224133264</v>
      </c>
      <c r="M203" s="200">
        <f>'MATRIZ COMPLETO PROPOSTA'!BD203+
 'MATRIZ COMPLETO PROPOSTA'!BA203+
 'MATRIZ COMPLETO PROPOSTA'!AX203+
 'MATRIZ COMPLETO PROPOSTA'!AS203+
 'MATRIZ COMPLETO PROPOSTA'!AM203</f>
        <v>237809.18810938095</v>
      </c>
      <c r="O203" s="200"/>
      <c r="Q203" s="240"/>
    </row>
    <row r="204" spans="2:17" x14ac:dyDescent="0.3">
      <c r="B204" s="235" t="s">
        <v>322</v>
      </c>
      <c r="C204" s="235" t="s">
        <v>336</v>
      </c>
      <c r="D204" s="235" t="s">
        <v>94</v>
      </c>
      <c r="E204" s="236"/>
      <c r="F204" s="236"/>
      <c r="G204" s="237">
        <f ca="1">'MATRIZ COMPLETO PROPOSTA'!H204</f>
        <v>1842147.3365417835</v>
      </c>
      <c r="H204" s="237"/>
      <c r="I204" s="237"/>
      <c r="J204" s="237"/>
      <c r="K204" s="237">
        <f t="shared" ca="1" si="9"/>
        <v>1842147.3365417835</v>
      </c>
      <c r="L204" s="236"/>
      <c r="M204" s="237">
        <f>'MATRIZ COMPLETO PROPOSTA'!BD204+
 'MATRIZ COMPLETO PROPOSTA'!BA204+
 'MATRIZ COMPLETO PROPOSTA'!AX204+
 'MATRIZ COMPLETO PROPOSTA'!AS204+
 'MATRIZ COMPLETO PROPOSTA'!AM204</f>
        <v>388187.50906424492</v>
      </c>
      <c r="N204" s="236"/>
      <c r="O204" s="237"/>
      <c r="P204" s="236"/>
      <c r="Q204" s="243"/>
    </row>
    <row r="205" spans="2:17" x14ac:dyDescent="0.3">
      <c r="B205" s="230" t="s">
        <v>322</v>
      </c>
      <c r="C205" s="230" t="s">
        <v>337</v>
      </c>
      <c r="D205" s="230" t="s">
        <v>94</v>
      </c>
      <c r="G205" s="200">
        <f ca="1">'MATRIZ COMPLETO PROPOSTA'!H205</f>
        <v>1487913.6246780229</v>
      </c>
      <c r="H205" s="200"/>
      <c r="I205" s="200"/>
      <c r="J205" s="200"/>
      <c r="K205" s="200">
        <f t="shared" ca="1" si="9"/>
        <v>1487913.6246780229</v>
      </c>
      <c r="M205" s="200">
        <f>'MATRIZ COMPLETO PROPOSTA'!BD205+
 'MATRIZ COMPLETO PROPOSTA'!BA205+
 'MATRIZ COMPLETO PROPOSTA'!AX205+
 'MATRIZ COMPLETO PROPOSTA'!AS205+
 'MATRIZ COMPLETO PROPOSTA'!AM205</f>
        <v>341049.78499367798</v>
      </c>
      <c r="O205" s="200"/>
      <c r="Q205" s="240"/>
    </row>
    <row r="206" spans="2:17" x14ac:dyDescent="0.3">
      <c r="G206" s="200"/>
      <c r="H206" s="200"/>
      <c r="I206" s="200"/>
      <c r="J206" s="200"/>
      <c r="K206" s="200"/>
      <c r="M206" s="200"/>
      <c r="O206" s="200"/>
      <c r="Q206" s="240"/>
    </row>
    <row r="207" spans="2:17" x14ac:dyDescent="0.3">
      <c r="B207" s="231" t="s">
        <v>322</v>
      </c>
      <c r="C207" s="231" t="s">
        <v>338</v>
      </c>
      <c r="D207" s="232" t="s">
        <v>154</v>
      </c>
      <c r="E207" s="232"/>
      <c r="F207" s="232"/>
      <c r="G207" s="238">
        <f ca="1">SUM(G208:G220)</f>
        <v>34193806.002879418</v>
      </c>
      <c r="H207" s="238">
        <f>'MATRIZ COMPLETO PROPOSTA'!Y207</f>
        <v>692040.87818285171</v>
      </c>
      <c r="I207" s="238">
        <f>'MATRIZ COMPLETO PROPOSTA'!AA207</f>
        <v>1483736.9194982806</v>
      </c>
      <c r="J207" s="238">
        <f>'MATRIZ COMPLETO PROPOSTA'!AC207</f>
        <v>188348.65184231359</v>
      </c>
      <c r="K207" s="238">
        <f ca="1">SUM(G207:J207)</f>
        <v>36557932.45240286</v>
      </c>
      <c r="L207" s="232"/>
      <c r="M207" s="238">
        <f>SUM(M208:M220)</f>
        <v>10706984.173871716</v>
      </c>
      <c r="N207" s="232"/>
      <c r="O207" s="238">
        <f ca="1">K207*'DADOS BASE'!$I$22</f>
        <v>54836.898678604288</v>
      </c>
      <c r="P207" s="232"/>
      <c r="Q207" s="241">
        <f ca="1">SUM(H207:J207)/K207</f>
        <v>6.4667947308055654E-2</v>
      </c>
    </row>
    <row r="208" spans="2:17" x14ac:dyDescent="0.3">
      <c r="B208" s="233" t="s">
        <v>322</v>
      </c>
      <c r="C208" s="234" t="s">
        <v>156</v>
      </c>
      <c r="D208" s="234" t="s">
        <v>157</v>
      </c>
      <c r="E208" s="234"/>
      <c r="F208" s="234"/>
      <c r="G208" s="239">
        <f>('MATRIZ COMPLETO PROPOSTA'!L207+
  'MATRIZ COMPLETO PROPOSTA'!P207*0.25+
  'MATRIZ COMPLETO PROPOSTA'!S207*0.8)
 /
 ('MATRIZ COMPLETO PROPOSTA'!L11+
  'MATRIZ COMPLETO PROPOSTA'!P11*0.25+
  'MATRIZ COMPLETO PROPOSTA'!S11*0.8)
 *
 'DADOS BASE'!$J$93</f>
        <v>3799311.7780977138</v>
      </c>
      <c r="H208" s="239"/>
      <c r="I208" s="239"/>
      <c r="J208" s="239"/>
      <c r="K208" s="239">
        <f t="shared" ref="K208:K220" si="10">J208+I208+H208+G208</f>
        <v>3799311.7780977138</v>
      </c>
      <c r="L208" s="234"/>
      <c r="M208" s="239">
        <f>'MATRIZ COMPLETO PROPOSTA'!BD208+
 'MATRIZ COMPLETO PROPOSTA'!BA208+
 'MATRIZ COMPLETO PROPOSTA'!AX208+
 'MATRIZ COMPLETO PROPOSTA'!AS208+
 'MATRIZ COMPLETO PROPOSTA'!AM208</f>
        <v>0</v>
      </c>
      <c r="N208" s="234"/>
      <c r="O208" s="239"/>
      <c r="P208" s="234"/>
      <c r="Q208" s="242"/>
    </row>
    <row r="209" spans="2:17" x14ac:dyDescent="0.3">
      <c r="B209" s="230" t="s">
        <v>322</v>
      </c>
      <c r="C209" s="230" t="s">
        <v>339</v>
      </c>
      <c r="D209" s="230" t="s">
        <v>96</v>
      </c>
      <c r="G209" s="200">
        <f ca="1">'MATRIZ COMPLETO PROPOSTA'!H209</f>
        <v>720122.44990350236</v>
      </c>
      <c r="H209" s="200"/>
      <c r="I209" s="200"/>
      <c r="J209" s="200"/>
      <c r="K209" s="200">
        <f t="shared" ca="1" si="10"/>
        <v>720122.44990350236</v>
      </c>
      <c r="M209" s="200">
        <f>'MATRIZ COMPLETO PROPOSTA'!BD209+
 'MATRIZ COMPLETO PROPOSTA'!BA209+
 'MATRIZ COMPLETO PROPOSTA'!AX209+
 'MATRIZ COMPLETO PROPOSTA'!AS209+
 'MATRIZ COMPLETO PROPOSTA'!AM209</f>
        <v>296705.97959710623</v>
      </c>
      <c r="O209" s="200"/>
      <c r="Q209" s="240"/>
    </row>
    <row r="210" spans="2:17" x14ac:dyDescent="0.3">
      <c r="B210" s="235" t="s">
        <v>322</v>
      </c>
      <c r="C210" s="235" t="s">
        <v>340</v>
      </c>
      <c r="D210" s="235" t="s">
        <v>96</v>
      </c>
      <c r="E210" s="236"/>
      <c r="F210" s="236"/>
      <c r="G210" s="237">
        <f ca="1">'MATRIZ COMPLETO PROPOSTA'!H210</f>
        <v>950265.74728628935</v>
      </c>
      <c r="H210" s="237"/>
      <c r="I210" s="237"/>
      <c r="J210" s="237"/>
      <c r="K210" s="237">
        <f t="shared" ca="1" si="10"/>
        <v>950265.74728628935</v>
      </c>
      <c r="L210" s="236"/>
      <c r="M210" s="237">
        <f>'MATRIZ COMPLETO PROPOSTA'!BD210+
 'MATRIZ COMPLETO PROPOSTA'!BA210+
 'MATRIZ COMPLETO PROPOSTA'!AX210+
 'MATRIZ COMPLETO PROPOSTA'!AS210+
 'MATRIZ COMPLETO PROPOSTA'!AM210</f>
        <v>166762.42741837434</v>
      </c>
      <c r="N210" s="236"/>
      <c r="O210" s="237"/>
      <c r="P210" s="236"/>
      <c r="Q210" s="243"/>
    </row>
    <row r="211" spans="2:17" x14ac:dyDescent="0.3">
      <c r="B211" s="230" t="s">
        <v>322</v>
      </c>
      <c r="C211" s="230" t="s">
        <v>341</v>
      </c>
      <c r="D211" s="230" t="s">
        <v>96</v>
      </c>
      <c r="G211" s="200">
        <f ca="1">'MATRIZ COMPLETO PROPOSTA'!H211</f>
        <v>480792.70650226722</v>
      </c>
      <c r="H211" s="200"/>
      <c r="I211" s="200"/>
      <c r="J211" s="200"/>
      <c r="K211" s="200">
        <f t="shared" ca="1" si="10"/>
        <v>480792.70650226722</v>
      </c>
      <c r="M211" s="200">
        <f>'MATRIZ COMPLETO PROPOSTA'!BD211+
 'MATRIZ COMPLETO PROPOSTA'!BA211+
 'MATRIZ COMPLETO PROPOSTA'!AX211+
 'MATRIZ COMPLETO PROPOSTA'!AS211+
 'MATRIZ COMPLETO PROPOSTA'!AM211</f>
        <v>224121.85596508082</v>
      </c>
      <c r="O211" s="200"/>
      <c r="Q211" s="240"/>
    </row>
    <row r="212" spans="2:17" x14ac:dyDescent="0.3">
      <c r="B212" s="235" t="s">
        <v>322</v>
      </c>
      <c r="C212" s="235" t="s">
        <v>342</v>
      </c>
      <c r="D212" s="235" t="s">
        <v>92</v>
      </c>
      <c r="E212" s="236"/>
      <c r="F212" s="236"/>
      <c r="G212" s="237">
        <f ca="1">'MATRIZ COMPLETO PROPOSTA'!H212</f>
        <v>1639363.312276694</v>
      </c>
      <c r="H212" s="237"/>
      <c r="I212" s="237"/>
      <c r="J212" s="237"/>
      <c r="K212" s="237">
        <f t="shared" ca="1" si="10"/>
        <v>1639363.312276694</v>
      </c>
      <c r="L212" s="236"/>
      <c r="M212" s="237">
        <f>'MATRIZ COMPLETO PROPOSTA'!BD212+
 'MATRIZ COMPLETO PROPOSTA'!BA212+
 'MATRIZ COMPLETO PROPOSTA'!AX212+
 'MATRIZ COMPLETO PROPOSTA'!AS212+
 'MATRIZ COMPLETO PROPOSTA'!AM212</f>
        <v>593555.58203470218</v>
      </c>
      <c r="N212" s="236"/>
      <c r="O212" s="237"/>
      <c r="P212" s="236"/>
      <c r="Q212" s="243"/>
    </row>
    <row r="213" spans="2:17" x14ac:dyDescent="0.3">
      <c r="B213" s="230" t="s">
        <v>322</v>
      </c>
      <c r="C213" s="230" t="s">
        <v>343</v>
      </c>
      <c r="D213" s="230" t="s">
        <v>92</v>
      </c>
      <c r="G213" s="200">
        <f ca="1">'MATRIZ COMPLETO PROPOSTA'!H213</f>
        <v>4165438.5171247902</v>
      </c>
      <c r="H213" s="200"/>
      <c r="I213" s="200"/>
      <c r="J213" s="200"/>
      <c r="K213" s="200">
        <f t="shared" ca="1" si="10"/>
        <v>4165438.5171247902</v>
      </c>
      <c r="M213" s="200">
        <f>'MATRIZ COMPLETO PROPOSTA'!BD213+
 'MATRIZ COMPLETO PROPOSTA'!BA213+
 'MATRIZ COMPLETO PROPOSTA'!AX213+
 'MATRIZ COMPLETO PROPOSTA'!AS213+
 'MATRIZ COMPLETO PROPOSTA'!AM213</f>
        <v>1946668.3354516868</v>
      </c>
      <c r="O213" s="200"/>
      <c r="Q213" s="240"/>
    </row>
    <row r="214" spans="2:17" x14ac:dyDescent="0.3">
      <c r="B214" s="235" t="s">
        <v>322</v>
      </c>
      <c r="C214" s="235" t="s">
        <v>344</v>
      </c>
      <c r="D214" s="235" t="s">
        <v>92</v>
      </c>
      <c r="E214" s="236"/>
      <c r="F214" s="236"/>
      <c r="G214" s="237">
        <f ca="1">'MATRIZ COMPLETO PROPOSTA'!H214</f>
        <v>1553006.2233017543</v>
      </c>
      <c r="H214" s="237"/>
      <c r="I214" s="237"/>
      <c r="J214" s="237"/>
      <c r="K214" s="237">
        <f t="shared" ca="1" si="10"/>
        <v>1553006.2233017543</v>
      </c>
      <c r="L214" s="236"/>
      <c r="M214" s="237">
        <f>'MATRIZ COMPLETO PROPOSTA'!BD214+
 'MATRIZ COMPLETO PROPOSTA'!BA214+
 'MATRIZ COMPLETO PROPOSTA'!AX214+
 'MATRIZ COMPLETO PROPOSTA'!AS214+
 'MATRIZ COMPLETO PROPOSTA'!AM214</f>
        <v>327701.989621852</v>
      </c>
      <c r="N214" s="236"/>
      <c r="O214" s="237"/>
      <c r="P214" s="236"/>
      <c r="Q214" s="243"/>
    </row>
    <row r="215" spans="2:17" x14ac:dyDescent="0.3">
      <c r="B215" s="230" t="s">
        <v>322</v>
      </c>
      <c r="C215" s="230" t="s">
        <v>345</v>
      </c>
      <c r="D215" s="230" t="s">
        <v>92</v>
      </c>
      <c r="G215" s="200">
        <f ca="1">'MATRIZ COMPLETO PROPOSTA'!H215</f>
        <v>2259170.6218670993</v>
      </c>
      <c r="H215" s="200"/>
      <c r="I215" s="200"/>
      <c r="J215" s="200"/>
      <c r="K215" s="200">
        <f t="shared" ca="1" si="10"/>
        <v>2259170.6218670993</v>
      </c>
      <c r="M215" s="200">
        <f>'MATRIZ COMPLETO PROPOSTA'!BD215+
 'MATRIZ COMPLETO PROPOSTA'!BA215+
 'MATRIZ COMPLETO PROPOSTA'!AX215+
 'MATRIZ COMPLETO PROPOSTA'!AS215+
 'MATRIZ COMPLETO PROPOSTA'!AM215</f>
        <v>552074.65800200426</v>
      </c>
      <c r="O215" s="200"/>
      <c r="Q215" s="240"/>
    </row>
    <row r="216" spans="2:17" x14ac:dyDescent="0.3">
      <c r="B216" s="235" t="s">
        <v>322</v>
      </c>
      <c r="C216" s="235" t="s">
        <v>346</v>
      </c>
      <c r="D216" s="235" t="s">
        <v>92</v>
      </c>
      <c r="E216" s="236"/>
      <c r="F216" s="236"/>
      <c r="G216" s="237">
        <f ca="1">'MATRIZ COMPLETO PROPOSTA'!H216</f>
        <v>3432120.3378357911</v>
      </c>
      <c r="H216" s="237"/>
      <c r="I216" s="237"/>
      <c r="J216" s="237"/>
      <c r="K216" s="237">
        <f t="shared" ca="1" si="10"/>
        <v>3432120.3378357911</v>
      </c>
      <c r="L216" s="236"/>
      <c r="M216" s="237">
        <f>'MATRIZ COMPLETO PROPOSTA'!BD216+
 'MATRIZ COMPLETO PROPOSTA'!BA216+
 'MATRIZ COMPLETO PROPOSTA'!AX216+
 'MATRIZ COMPLETO PROPOSTA'!AS216+
 'MATRIZ COMPLETO PROPOSTA'!AM216</f>
        <v>1027085.1146524979</v>
      </c>
      <c r="N216" s="236"/>
      <c r="O216" s="237"/>
      <c r="P216" s="236"/>
      <c r="Q216" s="243"/>
    </row>
    <row r="217" spans="2:17" x14ac:dyDescent="0.3">
      <c r="B217" s="230" t="s">
        <v>322</v>
      </c>
      <c r="C217" s="230" t="s">
        <v>347</v>
      </c>
      <c r="D217" s="230" t="s">
        <v>92</v>
      </c>
      <c r="G217" s="200">
        <f ca="1">'MATRIZ COMPLETO PROPOSTA'!H217</f>
        <v>1522668.7062092377</v>
      </c>
      <c r="H217" s="200"/>
      <c r="I217" s="200"/>
      <c r="J217" s="200"/>
      <c r="K217" s="200">
        <f t="shared" ca="1" si="10"/>
        <v>1522668.7062092377</v>
      </c>
      <c r="M217" s="200">
        <f>'MATRIZ COMPLETO PROPOSTA'!BD217+
 'MATRIZ COMPLETO PROPOSTA'!BA217+
 'MATRIZ COMPLETO PROPOSTA'!AX217+
 'MATRIZ COMPLETO PROPOSTA'!AS217+
 'MATRIZ COMPLETO PROPOSTA'!AM217</f>
        <v>465514.58691840997</v>
      </c>
      <c r="O217" s="200"/>
      <c r="Q217" s="240"/>
    </row>
    <row r="218" spans="2:17" x14ac:dyDescent="0.3">
      <c r="B218" s="235" t="s">
        <v>322</v>
      </c>
      <c r="C218" s="235" t="s">
        <v>348</v>
      </c>
      <c r="D218" s="235" t="s">
        <v>92</v>
      </c>
      <c r="E218" s="236"/>
      <c r="F218" s="236"/>
      <c r="G218" s="237">
        <f ca="1">'MATRIZ COMPLETO PROPOSTA'!H218</f>
        <v>6019930.0778833861</v>
      </c>
      <c r="H218" s="237"/>
      <c r="I218" s="237"/>
      <c r="J218" s="237"/>
      <c r="K218" s="237">
        <f t="shared" ca="1" si="10"/>
        <v>6019930.0778833861</v>
      </c>
      <c r="L218" s="236"/>
      <c r="M218" s="237">
        <f>'MATRIZ COMPLETO PROPOSTA'!BD218+
 'MATRIZ COMPLETO PROPOSTA'!BA218+
 'MATRIZ COMPLETO PROPOSTA'!AX218+
 'MATRIZ COMPLETO PROPOSTA'!AS218+
 'MATRIZ COMPLETO PROPOSTA'!AM218</f>
        <v>1390662.8544817278</v>
      </c>
      <c r="N218" s="236"/>
      <c r="O218" s="237"/>
      <c r="P218" s="236"/>
      <c r="Q218" s="243"/>
    </row>
    <row r="219" spans="2:17" x14ac:dyDescent="0.3">
      <c r="B219" s="230" t="s">
        <v>322</v>
      </c>
      <c r="C219" s="230" t="s">
        <v>349</v>
      </c>
      <c r="D219" s="230" t="s">
        <v>94</v>
      </c>
      <c r="G219" s="200">
        <f ca="1">'MATRIZ COMPLETO PROPOSTA'!H219</f>
        <v>2108886.1702951598</v>
      </c>
      <c r="H219" s="200"/>
      <c r="I219" s="200"/>
      <c r="J219" s="200"/>
      <c r="K219" s="200">
        <f t="shared" ca="1" si="10"/>
        <v>2108886.1702951598</v>
      </c>
      <c r="M219" s="200">
        <f>'MATRIZ COMPLETO PROPOSTA'!BD219+
 'MATRIZ COMPLETO PROPOSTA'!BA219+
 'MATRIZ COMPLETO PROPOSTA'!AX219+
 'MATRIZ COMPLETO PROPOSTA'!AS219+
 'MATRIZ COMPLETO PROPOSTA'!AM219</f>
        <v>715915.18174051004</v>
      </c>
      <c r="O219" s="200"/>
      <c r="Q219" s="240"/>
    </row>
    <row r="220" spans="2:17" x14ac:dyDescent="0.3">
      <c r="B220" s="235" t="s">
        <v>322</v>
      </c>
      <c r="C220" s="235" t="s">
        <v>350</v>
      </c>
      <c r="D220" s="235" t="s">
        <v>92</v>
      </c>
      <c r="E220" s="236"/>
      <c r="F220" s="236"/>
      <c r="G220" s="237">
        <f ca="1">'MATRIZ COMPLETO PROPOSTA'!H220</f>
        <v>5542729.3542957362</v>
      </c>
      <c r="H220" s="237"/>
      <c r="I220" s="237"/>
      <c r="J220" s="237"/>
      <c r="K220" s="237">
        <f t="shared" ca="1" si="10"/>
        <v>5542729.3542957362</v>
      </c>
      <c r="L220" s="236"/>
      <c r="M220" s="237">
        <f>'MATRIZ COMPLETO PROPOSTA'!BD220+
 'MATRIZ COMPLETO PROPOSTA'!BA220+
 'MATRIZ COMPLETO PROPOSTA'!AX220+
 'MATRIZ COMPLETO PROPOSTA'!AS220+
 'MATRIZ COMPLETO PROPOSTA'!AM220</f>
        <v>3000215.6079877648</v>
      </c>
      <c r="N220" s="236"/>
      <c r="O220" s="237"/>
      <c r="P220" s="236"/>
      <c r="Q220" s="243"/>
    </row>
    <row r="221" spans="2:17" x14ac:dyDescent="0.3">
      <c r="G221" s="200"/>
      <c r="H221" s="200"/>
      <c r="I221" s="200"/>
      <c r="J221" s="200"/>
      <c r="K221" s="200"/>
      <c r="M221" s="200"/>
      <c r="O221" s="200"/>
      <c r="Q221" s="240"/>
    </row>
    <row r="222" spans="2:17" x14ac:dyDescent="0.3">
      <c r="B222" s="231" t="s">
        <v>351</v>
      </c>
      <c r="C222" s="231" t="s">
        <v>352</v>
      </c>
      <c r="D222" s="232" t="s">
        <v>154</v>
      </c>
      <c r="E222" s="232"/>
      <c r="F222" s="232"/>
      <c r="G222" s="238">
        <f ca="1">SUM(G223:G253)</f>
        <v>65431251.647152305</v>
      </c>
      <c r="H222" s="238">
        <f>'MATRIZ COMPLETO PROPOSTA'!Y222</f>
        <v>2463390.5432005483</v>
      </c>
      <c r="I222" s="238">
        <f>'MATRIZ COMPLETO PROPOSTA'!AA222</f>
        <v>964726.45896488032</v>
      </c>
      <c r="J222" s="238">
        <f>'MATRIZ COMPLETO PROPOSTA'!AC222</f>
        <v>3466082.2274790932</v>
      </c>
      <c r="K222" s="238">
        <f ca="1">SUM(G222:J222)</f>
        <v>72325450.876796842</v>
      </c>
      <c r="L222" s="232"/>
      <c r="M222" s="238">
        <f>SUM(M223:M253)</f>
        <v>24422309.112920575</v>
      </c>
      <c r="N222" s="232"/>
      <c r="O222" s="238">
        <f ca="1">K222*'DADOS BASE'!$I$22</f>
        <v>108488.17631519526</v>
      </c>
      <c r="P222" s="232"/>
      <c r="Q222" s="241">
        <f ca="1">SUM(H222:J222)/K222</f>
        <v>9.5321897700831215E-2</v>
      </c>
    </row>
    <row r="223" spans="2:17" x14ac:dyDescent="0.3">
      <c r="B223" s="233" t="s">
        <v>351</v>
      </c>
      <c r="C223" s="234" t="s">
        <v>156</v>
      </c>
      <c r="D223" s="234" t="s">
        <v>157</v>
      </c>
      <c r="E223" s="234"/>
      <c r="F223" s="234"/>
      <c r="G223" s="239">
        <f>('MATRIZ COMPLETO PROPOSTA'!L222+
  'MATRIZ COMPLETO PROPOSTA'!P222*0.25+
  'MATRIZ COMPLETO PROPOSTA'!S222*0.8)
 /
 ('MATRIZ COMPLETO PROPOSTA'!L11+
  'MATRIZ COMPLETO PROPOSTA'!P11*0.25+
  'MATRIZ COMPLETO PROPOSTA'!S11*0.8)
 *
 'DADOS BASE'!$J$93</f>
        <v>7243673.6119698351</v>
      </c>
      <c r="H223" s="239"/>
      <c r="I223" s="239"/>
      <c r="J223" s="239"/>
      <c r="K223" s="239">
        <f t="shared" ref="K223:K253" si="11">J223+I223+H223+G223</f>
        <v>7243673.6119698351</v>
      </c>
      <c r="L223" s="234"/>
      <c r="M223" s="239">
        <f>'MATRIZ COMPLETO PROPOSTA'!BD223+
 'MATRIZ COMPLETO PROPOSTA'!BA223+
 'MATRIZ COMPLETO PROPOSTA'!AX223+
 'MATRIZ COMPLETO PROPOSTA'!AS223+
 'MATRIZ COMPLETO PROPOSTA'!AM223</f>
        <v>0</v>
      </c>
      <c r="N223" s="234"/>
      <c r="O223" s="239"/>
      <c r="P223" s="234"/>
      <c r="Q223" s="242"/>
    </row>
    <row r="224" spans="2:17" x14ac:dyDescent="0.3">
      <c r="B224" s="235" t="s">
        <v>351</v>
      </c>
      <c r="C224" s="235" t="s">
        <v>353</v>
      </c>
      <c r="D224" s="235" t="s">
        <v>94</v>
      </c>
      <c r="E224" s="236"/>
      <c r="F224" s="236"/>
      <c r="G224" s="237">
        <f ca="1">'MATRIZ COMPLETO PROPOSTA'!H224</f>
        <v>2819339.3839717195</v>
      </c>
      <c r="H224" s="237"/>
      <c r="I224" s="237"/>
      <c r="J224" s="237"/>
      <c r="K224" s="237">
        <f t="shared" ca="1" si="11"/>
        <v>2819339.3839717195</v>
      </c>
      <c r="L224" s="236"/>
      <c r="M224" s="237">
        <f>'MATRIZ COMPLETO PROPOSTA'!BD224+
 'MATRIZ COMPLETO PROPOSTA'!BA224+
 'MATRIZ COMPLETO PROPOSTA'!AX224+
 'MATRIZ COMPLETO PROPOSTA'!AS224+
 'MATRIZ COMPLETO PROPOSTA'!AM224</f>
        <v>1140213.2833056292</v>
      </c>
      <c r="N224" s="236"/>
      <c r="O224" s="237"/>
      <c r="P224" s="236"/>
      <c r="Q224" s="243"/>
    </row>
    <row r="225" spans="2:17" x14ac:dyDescent="0.3">
      <c r="B225" s="230" t="s">
        <v>351</v>
      </c>
      <c r="C225" s="230" t="s">
        <v>354</v>
      </c>
      <c r="D225" s="230" t="s">
        <v>94</v>
      </c>
      <c r="G225" s="200">
        <f ca="1">'MATRIZ COMPLETO PROPOSTA'!H225</f>
        <v>865878.79426032689</v>
      </c>
      <c r="H225" s="200"/>
      <c r="I225" s="200"/>
      <c r="J225" s="200"/>
      <c r="K225" s="200">
        <f t="shared" ca="1" si="11"/>
        <v>865878.79426032689</v>
      </c>
      <c r="M225" s="200">
        <f>'MATRIZ COMPLETO PROPOSTA'!BD225+
 'MATRIZ COMPLETO PROPOSTA'!BA225+
 'MATRIZ COMPLETO PROPOSTA'!AX225+
 'MATRIZ COMPLETO PROPOSTA'!AS225+
 'MATRIZ COMPLETO PROPOSTA'!AM225</f>
        <v>422779.794023339</v>
      </c>
      <c r="O225" s="200"/>
      <c r="Q225" s="240"/>
    </row>
    <row r="226" spans="2:17" x14ac:dyDescent="0.3">
      <c r="B226" s="235" t="s">
        <v>351</v>
      </c>
      <c r="C226" s="235" t="s">
        <v>355</v>
      </c>
      <c r="D226" s="235" t="s">
        <v>94</v>
      </c>
      <c r="E226" s="236"/>
      <c r="F226" s="236"/>
      <c r="G226" s="237">
        <f ca="1">'MATRIZ COMPLETO PROPOSTA'!H226</f>
        <v>412608.89641775109</v>
      </c>
      <c r="H226" s="237"/>
      <c r="I226" s="237"/>
      <c r="J226" s="237"/>
      <c r="K226" s="237">
        <f t="shared" ca="1" si="11"/>
        <v>412608.89641775109</v>
      </c>
      <c r="L226" s="236"/>
      <c r="M226" s="237">
        <f>'MATRIZ COMPLETO PROPOSTA'!BD226+
 'MATRIZ COMPLETO PROPOSTA'!BA226+
 'MATRIZ COMPLETO PROPOSTA'!AX226+
 'MATRIZ COMPLETO PROPOSTA'!AS226+
 'MATRIZ COMPLETO PROPOSTA'!AM226</f>
        <v>268603.27761440049</v>
      </c>
      <c r="N226" s="236"/>
      <c r="O226" s="237"/>
      <c r="P226" s="236"/>
      <c r="Q226" s="243"/>
    </row>
    <row r="227" spans="2:17" x14ac:dyDescent="0.3">
      <c r="B227" s="230" t="s">
        <v>351</v>
      </c>
      <c r="C227" s="230" t="s">
        <v>356</v>
      </c>
      <c r="D227" s="230" t="s">
        <v>98</v>
      </c>
      <c r="G227" s="200">
        <f ca="1">'MATRIZ COMPLETO PROPOSTA'!H227</f>
        <v>173763.58004064683</v>
      </c>
      <c r="H227" s="200"/>
      <c r="I227" s="200"/>
      <c r="J227" s="200"/>
      <c r="K227" s="200">
        <f t="shared" ca="1" si="11"/>
        <v>173763.58004064683</v>
      </c>
      <c r="M227" s="200">
        <f>'MATRIZ COMPLETO PROPOSTA'!BD227+
 'MATRIZ COMPLETO PROPOSTA'!BA227+
 'MATRIZ COMPLETO PROPOSTA'!AX227+
 'MATRIZ COMPLETO PROPOSTA'!AS227+
 'MATRIZ COMPLETO PROPOSTA'!AM227</f>
        <v>125941.740743976</v>
      </c>
      <c r="O227" s="200"/>
      <c r="Q227" s="240"/>
    </row>
    <row r="228" spans="2:17" x14ac:dyDescent="0.3">
      <c r="B228" s="235" t="s">
        <v>351</v>
      </c>
      <c r="C228" s="235" t="s">
        <v>357</v>
      </c>
      <c r="D228" s="235" t="s">
        <v>98</v>
      </c>
      <c r="E228" s="236"/>
      <c r="F228" s="236"/>
      <c r="G228" s="237">
        <f ca="1">'MATRIZ COMPLETO PROPOSTA'!H228</f>
        <v>309653.22262837028</v>
      </c>
      <c r="H228" s="237"/>
      <c r="I228" s="237"/>
      <c r="J228" s="237"/>
      <c r="K228" s="237">
        <f t="shared" ca="1" si="11"/>
        <v>309653.22262837028</v>
      </c>
      <c r="L228" s="236"/>
      <c r="M228" s="237">
        <f>'MATRIZ COMPLETO PROPOSTA'!BD228+
 'MATRIZ COMPLETO PROPOSTA'!BA228+
 'MATRIZ COMPLETO PROPOSTA'!AX228+
 'MATRIZ COMPLETO PROPOSTA'!AS228+
 'MATRIZ COMPLETO PROPOSTA'!AM228</f>
        <v>197328.49851786072</v>
      </c>
      <c r="N228" s="236"/>
      <c r="O228" s="237"/>
      <c r="P228" s="236"/>
      <c r="Q228" s="243"/>
    </row>
    <row r="229" spans="2:17" x14ac:dyDescent="0.3">
      <c r="B229" s="230" t="s">
        <v>351</v>
      </c>
      <c r="C229" s="230" t="s">
        <v>358</v>
      </c>
      <c r="D229" s="230" t="s">
        <v>98</v>
      </c>
      <c r="G229" s="200">
        <f ca="1">'MATRIZ COMPLETO PROPOSTA'!H229</f>
        <v>529051.18198954442</v>
      </c>
      <c r="H229" s="200"/>
      <c r="I229" s="200"/>
      <c r="J229" s="200"/>
      <c r="K229" s="200">
        <f t="shared" ca="1" si="11"/>
        <v>529051.18198954442</v>
      </c>
      <c r="M229" s="200">
        <f>'MATRIZ COMPLETO PROPOSTA'!BD229+
 'MATRIZ COMPLETO PROPOSTA'!BA229+
 'MATRIZ COMPLETO PROPOSTA'!AX229+
 'MATRIZ COMPLETO PROPOSTA'!AS229+
 'MATRIZ COMPLETO PROPOSTA'!AM229</f>
        <v>283771.42605392484</v>
      </c>
      <c r="O229" s="200"/>
      <c r="Q229" s="240"/>
    </row>
    <row r="230" spans="2:17" x14ac:dyDescent="0.3">
      <c r="B230" s="235" t="s">
        <v>351</v>
      </c>
      <c r="C230" s="235" t="s">
        <v>359</v>
      </c>
      <c r="D230" s="235" t="s">
        <v>94</v>
      </c>
      <c r="E230" s="236"/>
      <c r="F230" s="236"/>
      <c r="G230" s="237">
        <f ca="1">'MATRIZ COMPLETO PROPOSTA'!H230</f>
        <v>1543253.4235030788</v>
      </c>
      <c r="H230" s="237"/>
      <c r="I230" s="237"/>
      <c r="J230" s="237"/>
      <c r="K230" s="237">
        <f t="shared" ca="1" si="11"/>
        <v>1543253.4235030788</v>
      </c>
      <c r="L230" s="236"/>
      <c r="M230" s="237">
        <f>'MATRIZ COMPLETO PROPOSTA'!BD230+
 'MATRIZ COMPLETO PROPOSTA'!BA230+
 'MATRIZ COMPLETO PROPOSTA'!AX230+
 'MATRIZ COMPLETO PROPOSTA'!AS230+
 'MATRIZ COMPLETO PROPOSTA'!AM230</f>
        <v>680687.56422942295</v>
      </c>
      <c r="N230" s="236"/>
      <c r="O230" s="237"/>
      <c r="P230" s="236"/>
      <c r="Q230" s="243"/>
    </row>
    <row r="231" spans="2:17" x14ac:dyDescent="0.3">
      <c r="B231" s="230" t="s">
        <v>351</v>
      </c>
      <c r="C231" s="230" t="s">
        <v>360</v>
      </c>
      <c r="D231" s="230" t="s">
        <v>94</v>
      </c>
      <c r="G231" s="200">
        <f ca="1">'MATRIZ COMPLETO PROPOSTA'!H231</f>
        <v>1926909.5018922195</v>
      </c>
      <c r="H231" s="200"/>
      <c r="I231" s="200"/>
      <c r="J231" s="200"/>
      <c r="K231" s="200">
        <f t="shared" ca="1" si="11"/>
        <v>1926909.5018922195</v>
      </c>
      <c r="M231" s="200">
        <f>'MATRIZ COMPLETO PROPOSTA'!BD231+
 'MATRIZ COMPLETO PROPOSTA'!BA231+
 'MATRIZ COMPLETO PROPOSTA'!AX231+
 'MATRIZ COMPLETO PROPOSTA'!AS231+
 'MATRIZ COMPLETO PROPOSTA'!AM231</f>
        <v>943623.78259591502</v>
      </c>
      <c r="O231" s="200"/>
      <c r="Q231" s="240"/>
    </row>
    <row r="232" spans="2:17" x14ac:dyDescent="0.3">
      <c r="B232" s="235" t="s">
        <v>351</v>
      </c>
      <c r="C232" s="235" t="s">
        <v>361</v>
      </c>
      <c r="D232" s="235" t="s">
        <v>94</v>
      </c>
      <c r="E232" s="236"/>
      <c r="F232" s="236"/>
      <c r="G232" s="237">
        <f ca="1">'MATRIZ COMPLETO PROPOSTA'!H232</f>
        <v>1869607.7224105939</v>
      </c>
      <c r="H232" s="237"/>
      <c r="I232" s="237"/>
      <c r="J232" s="237"/>
      <c r="K232" s="237">
        <f t="shared" ca="1" si="11"/>
        <v>1869607.7224105939</v>
      </c>
      <c r="L232" s="236"/>
      <c r="M232" s="237">
        <f>'MATRIZ COMPLETO PROPOSTA'!BD232+
 'MATRIZ COMPLETO PROPOSTA'!BA232+
 'MATRIZ COMPLETO PROPOSTA'!AX232+
 'MATRIZ COMPLETO PROPOSTA'!AS232+
 'MATRIZ COMPLETO PROPOSTA'!AM232</f>
        <v>696007.20682174095</v>
      </c>
      <c r="N232" s="236"/>
      <c r="O232" s="237"/>
      <c r="P232" s="236"/>
      <c r="Q232" s="243"/>
    </row>
    <row r="233" spans="2:17" x14ac:dyDescent="0.3">
      <c r="B233" s="230" t="s">
        <v>351</v>
      </c>
      <c r="C233" s="230" t="s">
        <v>362</v>
      </c>
      <c r="D233" s="230" t="s">
        <v>94</v>
      </c>
      <c r="G233" s="200">
        <f ca="1">'MATRIZ COMPLETO PROPOSTA'!H233</f>
        <v>2076028.1289960761</v>
      </c>
      <c r="H233" s="200"/>
      <c r="I233" s="200"/>
      <c r="J233" s="200"/>
      <c r="K233" s="200">
        <f t="shared" ca="1" si="11"/>
        <v>2076028.1289960761</v>
      </c>
      <c r="M233" s="200">
        <f>'MATRIZ COMPLETO PROPOSTA'!BD233+
 'MATRIZ COMPLETO PROPOSTA'!BA233+
 'MATRIZ COMPLETO PROPOSTA'!AX233+
 'MATRIZ COMPLETO PROPOSTA'!AS233+
 'MATRIZ COMPLETO PROPOSTA'!AM233</f>
        <v>865437.18481037382</v>
      </c>
      <c r="O233" s="200"/>
      <c r="Q233" s="240"/>
    </row>
    <row r="234" spans="2:17" x14ac:dyDescent="0.3">
      <c r="B234" s="235" t="s">
        <v>351</v>
      </c>
      <c r="C234" s="235" t="s">
        <v>363</v>
      </c>
      <c r="D234" s="235" t="s">
        <v>92</v>
      </c>
      <c r="E234" s="236"/>
      <c r="F234" s="236"/>
      <c r="G234" s="237">
        <f ca="1">'MATRIZ COMPLETO PROPOSTA'!H234</f>
        <v>3587409.0406151703</v>
      </c>
      <c r="H234" s="237"/>
      <c r="I234" s="237"/>
      <c r="J234" s="237"/>
      <c r="K234" s="237">
        <f t="shared" ca="1" si="11"/>
        <v>3587409.0406151703</v>
      </c>
      <c r="L234" s="236"/>
      <c r="M234" s="237">
        <f>'MATRIZ COMPLETO PROPOSTA'!BD234+
 'MATRIZ COMPLETO PROPOSTA'!BA234+
 'MATRIZ COMPLETO PROPOSTA'!AX234+
 'MATRIZ COMPLETO PROPOSTA'!AS234+
 'MATRIZ COMPLETO PROPOSTA'!AM234</f>
        <v>1788351.0875799949</v>
      </c>
      <c r="N234" s="236"/>
      <c r="O234" s="237"/>
      <c r="P234" s="236"/>
      <c r="Q234" s="243"/>
    </row>
    <row r="235" spans="2:17" x14ac:dyDescent="0.3">
      <c r="B235" s="230" t="s">
        <v>351</v>
      </c>
      <c r="C235" s="230" t="s">
        <v>364</v>
      </c>
      <c r="D235" s="230" t="s">
        <v>92</v>
      </c>
      <c r="G235" s="200">
        <f ca="1">'MATRIZ COMPLETO PROPOSTA'!H235</f>
        <v>4343763.5122296838</v>
      </c>
      <c r="H235" s="200"/>
      <c r="I235" s="200"/>
      <c r="J235" s="200"/>
      <c r="K235" s="200">
        <f t="shared" ca="1" si="11"/>
        <v>4343763.5122296838</v>
      </c>
      <c r="M235" s="200">
        <f>'MATRIZ COMPLETO PROPOSTA'!BD235+
 'MATRIZ COMPLETO PROPOSTA'!BA235+
 'MATRIZ COMPLETO PROPOSTA'!AX235+
 'MATRIZ COMPLETO PROPOSTA'!AS235+
 'MATRIZ COMPLETO PROPOSTA'!AM235</f>
        <v>1716870.7969326675</v>
      </c>
      <c r="O235" s="200"/>
      <c r="Q235" s="240"/>
    </row>
    <row r="236" spans="2:17" x14ac:dyDescent="0.3">
      <c r="B236" s="235" t="s">
        <v>351</v>
      </c>
      <c r="C236" s="235" t="s">
        <v>365</v>
      </c>
      <c r="D236" s="235" t="s">
        <v>94</v>
      </c>
      <c r="E236" s="236"/>
      <c r="F236" s="236"/>
      <c r="G236" s="237">
        <f ca="1">'MATRIZ COMPLETO PROPOSTA'!H236</f>
        <v>932505.37155927194</v>
      </c>
      <c r="H236" s="237"/>
      <c r="I236" s="237"/>
      <c r="J236" s="237"/>
      <c r="K236" s="237">
        <f t="shared" ca="1" si="11"/>
        <v>932505.37155927194</v>
      </c>
      <c r="L236" s="236"/>
      <c r="M236" s="237">
        <f>'MATRIZ COMPLETO PROPOSTA'!BD236+
 'MATRIZ COMPLETO PROPOSTA'!BA236+
 'MATRIZ COMPLETO PROPOSTA'!AX236+
 'MATRIZ COMPLETO PROPOSTA'!AS236+
 'MATRIZ COMPLETO PROPOSTA'!AM236</f>
        <v>598378.96811433113</v>
      </c>
      <c r="N236" s="236"/>
      <c r="O236" s="237"/>
      <c r="P236" s="236"/>
      <c r="Q236" s="243"/>
    </row>
    <row r="237" spans="2:17" x14ac:dyDescent="0.3">
      <c r="B237" s="230" t="s">
        <v>351</v>
      </c>
      <c r="C237" s="230" t="s">
        <v>366</v>
      </c>
      <c r="D237" s="230" t="s">
        <v>94</v>
      </c>
      <c r="G237" s="200">
        <f ca="1">'MATRIZ COMPLETO PROPOSTA'!H237</f>
        <v>1546692.9385891552</v>
      </c>
      <c r="H237" s="200"/>
      <c r="I237" s="200"/>
      <c r="J237" s="200"/>
      <c r="K237" s="200">
        <f t="shared" ca="1" si="11"/>
        <v>1546692.9385891552</v>
      </c>
      <c r="M237" s="200">
        <f>'MATRIZ COMPLETO PROPOSTA'!BD237+
 'MATRIZ COMPLETO PROPOSTA'!BA237+
 'MATRIZ COMPLETO PROPOSTA'!AX237+
 'MATRIZ COMPLETO PROPOSTA'!AS237+
 'MATRIZ COMPLETO PROPOSTA'!AM237</f>
        <v>678499.10703649174</v>
      </c>
      <c r="O237" s="200"/>
      <c r="Q237" s="240"/>
    </row>
    <row r="238" spans="2:17" x14ac:dyDescent="0.3">
      <c r="B238" s="235" t="s">
        <v>351</v>
      </c>
      <c r="C238" s="235" t="s">
        <v>367</v>
      </c>
      <c r="D238" s="235" t="s">
        <v>94</v>
      </c>
      <c r="E238" s="236"/>
      <c r="F238" s="236"/>
      <c r="G238" s="237">
        <f ca="1">'MATRIZ COMPLETO PROPOSTA'!H238</f>
        <v>4064674.1326385611</v>
      </c>
      <c r="H238" s="237"/>
      <c r="I238" s="237"/>
      <c r="J238" s="237"/>
      <c r="K238" s="237">
        <f t="shared" ca="1" si="11"/>
        <v>4064674.1326385611</v>
      </c>
      <c r="L238" s="236"/>
      <c r="M238" s="237">
        <f>'MATRIZ COMPLETO PROPOSTA'!BD238+
 'MATRIZ COMPLETO PROPOSTA'!BA238+
 'MATRIZ COMPLETO PROPOSTA'!AX238+
 'MATRIZ COMPLETO PROPOSTA'!AS238+
 'MATRIZ COMPLETO PROPOSTA'!AM238</f>
        <v>1626053.5208914583</v>
      </c>
      <c r="N238" s="236"/>
      <c r="O238" s="237"/>
      <c r="P238" s="236"/>
      <c r="Q238" s="243"/>
    </row>
    <row r="239" spans="2:17" x14ac:dyDescent="0.3">
      <c r="B239" s="230" t="s">
        <v>351</v>
      </c>
      <c r="C239" s="230" t="s">
        <v>368</v>
      </c>
      <c r="D239" s="230" t="s">
        <v>94</v>
      </c>
      <c r="G239" s="200">
        <f ca="1">'MATRIZ COMPLETO PROPOSTA'!H239</f>
        <v>505099.48065057996</v>
      </c>
      <c r="H239" s="200"/>
      <c r="I239" s="200"/>
      <c r="J239" s="200"/>
      <c r="K239" s="200">
        <f t="shared" ca="1" si="11"/>
        <v>505099.48065057996</v>
      </c>
      <c r="M239" s="200">
        <f>'MATRIZ COMPLETO PROPOSTA'!BD239+
 'MATRIZ COMPLETO PROPOSTA'!BA239+
 'MATRIZ COMPLETO PROPOSTA'!AX239+
 'MATRIZ COMPLETO PROPOSTA'!AS239+
 'MATRIZ COMPLETO PROPOSTA'!AM239</f>
        <v>285957.39051650127</v>
      </c>
      <c r="O239" s="200"/>
      <c r="Q239" s="240"/>
    </row>
    <row r="240" spans="2:17" x14ac:dyDescent="0.3">
      <c r="B240" s="235" t="s">
        <v>351</v>
      </c>
      <c r="C240" s="235" t="s">
        <v>369</v>
      </c>
      <c r="D240" s="235" t="s">
        <v>94</v>
      </c>
      <c r="E240" s="236"/>
      <c r="F240" s="236"/>
      <c r="G240" s="237">
        <f ca="1">'MATRIZ COMPLETO PROPOSTA'!H240</f>
        <v>1475849.4551956253</v>
      </c>
      <c r="H240" s="237"/>
      <c r="I240" s="237"/>
      <c r="J240" s="237"/>
      <c r="K240" s="237">
        <f t="shared" ca="1" si="11"/>
        <v>1475849.4551956253</v>
      </c>
      <c r="L240" s="236"/>
      <c r="M240" s="237">
        <f>'MATRIZ COMPLETO PROPOSTA'!BD240+
 'MATRIZ COMPLETO PROPOSTA'!BA240+
 'MATRIZ COMPLETO PROPOSTA'!AX240+
 'MATRIZ COMPLETO PROPOSTA'!AS240+
 'MATRIZ COMPLETO PROPOSTA'!AM240</f>
        <v>565812.17006470705</v>
      </c>
      <c r="N240" s="236"/>
      <c r="O240" s="237"/>
      <c r="P240" s="236"/>
      <c r="Q240" s="243"/>
    </row>
    <row r="241" spans="2:17" x14ac:dyDescent="0.3">
      <c r="B241" s="230" t="s">
        <v>351</v>
      </c>
      <c r="C241" s="230" t="s">
        <v>370</v>
      </c>
      <c r="D241" s="230" t="s">
        <v>94</v>
      </c>
      <c r="G241" s="200">
        <f ca="1">'MATRIZ COMPLETO PROPOSTA'!H241</f>
        <v>1179390.2764618692</v>
      </c>
      <c r="H241" s="200"/>
      <c r="I241" s="200"/>
      <c r="J241" s="200"/>
      <c r="K241" s="200">
        <f t="shared" ca="1" si="11"/>
        <v>1179390.2764618692</v>
      </c>
      <c r="M241" s="200">
        <f>'MATRIZ COMPLETO PROPOSTA'!BD241+
 'MATRIZ COMPLETO PROPOSTA'!BA241+
 'MATRIZ COMPLETO PROPOSTA'!AX241+
 'MATRIZ COMPLETO PROPOSTA'!AS241+
 'MATRIZ COMPLETO PROPOSTA'!AM241</f>
        <v>747845.5807548177</v>
      </c>
      <c r="O241" s="200"/>
      <c r="Q241" s="240"/>
    </row>
    <row r="242" spans="2:17" x14ac:dyDescent="0.3">
      <c r="B242" s="235" t="s">
        <v>351</v>
      </c>
      <c r="C242" s="235" t="s">
        <v>371</v>
      </c>
      <c r="D242" s="235" t="s">
        <v>94</v>
      </c>
      <c r="E242" s="236"/>
      <c r="F242" s="236"/>
      <c r="G242" s="237">
        <f ca="1">'MATRIZ COMPLETO PROPOSTA'!H242</f>
        <v>700000</v>
      </c>
      <c r="H242" s="237"/>
      <c r="I242" s="237"/>
      <c r="J242" s="237"/>
      <c r="K242" s="237">
        <f t="shared" ca="1" si="11"/>
        <v>700000</v>
      </c>
      <c r="L242" s="236"/>
      <c r="M242" s="237">
        <f>'MATRIZ COMPLETO PROPOSTA'!BD242+
 'MATRIZ COMPLETO PROPOSTA'!BA242+
 'MATRIZ COMPLETO PROPOSTA'!AX242+
 'MATRIZ COMPLETO PROPOSTA'!AS242+
 'MATRIZ COMPLETO PROPOSTA'!AM242</f>
        <v>238585.02467624907</v>
      </c>
      <c r="N242" s="236"/>
      <c r="O242" s="237"/>
      <c r="P242" s="236"/>
      <c r="Q242" s="243"/>
    </row>
    <row r="243" spans="2:17" x14ac:dyDescent="0.3">
      <c r="B243" s="230" t="s">
        <v>351</v>
      </c>
      <c r="C243" s="230" t="s">
        <v>219</v>
      </c>
      <c r="D243" s="230" t="s">
        <v>94</v>
      </c>
      <c r="G243" s="200">
        <f ca="1">'MATRIZ COMPLETO PROPOSTA'!H243</f>
        <v>2796380.8914199742</v>
      </c>
      <c r="H243" s="200"/>
      <c r="I243" s="200"/>
      <c r="J243" s="200"/>
      <c r="K243" s="200">
        <f t="shared" ca="1" si="11"/>
        <v>2796380.8914199742</v>
      </c>
      <c r="M243" s="200">
        <f>'MATRIZ COMPLETO PROPOSTA'!BD243+
 'MATRIZ COMPLETO PROPOSTA'!BA243+
 'MATRIZ COMPLETO PROPOSTA'!AX243+
 'MATRIZ COMPLETO PROPOSTA'!AS243+
 'MATRIZ COMPLETO PROPOSTA'!AM243</f>
        <v>1226725.2733580214</v>
      </c>
      <c r="O243" s="200"/>
      <c r="Q243" s="240"/>
    </row>
    <row r="244" spans="2:17" x14ac:dyDescent="0.3">
      <c r="B244" s="235" t="s">
        <v>351</v>
      </c>
      <c r="C244" s="235" t="s">
        <v>372</v>
      </c>
      <c r="D244" s="235" t="s">
        <v>94</v>
      </c>
      <c r="E244" s="236"/>
      <c r="F244" s="236"/>
      <c r="G244" s="237">
        <f ca="1">'MATRIZ COMPLETO PROPOSTA'!H244</f>
        <v>1626735.4932986752</v>
      </c>
      <c r="H244" s="237"/>
      <c r="I244" s="237"/>
      <c r="J244" s="237"/>
      <c r="K244" s="237">
        <f t="shared" ca="1" si="11"/>
        <v>1626735.4932986752</v>
      </c>
      <c r="L244" s="236"/>
      <c r="M244" s="237">
        <f>'MATRIZ COMPLETO PROPOSTA'!BD244+
 'MATRIZ COMPLETO PROPOSTA'!BA244+
 'MATRIZ COMPLETO PROPOSTA'!AX244+
 'MATRIZ COMPLETO PROPOSTA'!AS244+
 'MATRIZ COMPLETO PROPOSTA'!AM244</f>
        <v>781154.94555462024</v>
      </c>
      <c r="N244" s="236"/>
      <c r="O244" s="237"/>
      <c r="P244" s="236"/>
      <c r="Q244" s="243"/>
    </row>
    <row r="245" spans="2:17" x14ac:dyDescent="0.3">
      <c r="B245" s="230" t="s">
        <v>351</v>
      </c>
      <c r="C245" s="230" t="s">
        <v>373</v>
      </c>
      <c r="D245" s="230" t="s">
        <v>94</v>
      </c>
      <c r="G245" s="200">
        <f ca="1">'MATRIZ COMPLETO PROPOSTA'!H245</f>
        <v>1112802.4649118746</v>
      </c>
      <c r="H245" s="200"/>
      <c r="I245" s="200"/>
      <c r="J245" s="200"/>
      <c r="K245" s="200">
        <f t="shared" ca="1" si="11"/>
        <v>1112802.4649118746</v>
      </c>
      <c r="M245" s="200">
        <f>'MATRIZ COMPLETO PROPOSTA'!BD245+
 'MATRIZ COMPLETO PROPOSTA'!BA245+
 'MATRIZ COMPLETO PROPOSTA'!AX245+
 'MATRIZ COMPLETO PROPOSTA'!AS245+
 'MATRIZ COMPLETO PROPOSTA'!AM245</f>
        <v>549333.05177502194</v>
      </c>
      <c r="O245" s="200"/>
      <c r="Q245" s="240"/>
    </row>
    <row r="246" spans="2:17" x14ac:dyDescent="0.3">
      <c r="B246" s="235" t="s">
        <v>351</v>
      </c>
      <c r="C246" s="235" t="s">
        <v>374</v>
      </c>
      <c r="D246" s="235" t="s">
        <v>94</v>
      </c>
      <c r="E246" s="236"/>
      <c r="F246" s="236"/>
      <c r="G246" s="237">
        <f ca="1">'MATRIZ COMPLETO PROPOSTA'!H246</f>
        <v>1624429.4276290329</v>
      </c>
      <c r="H246" s="237"/>
      <c r="I246" s="237"/>
      <c r="J246" s="237"/>
      <c r="K246" s="237">
        <f t="shared" ca="1" si="11"/>
        <v>1624429.4276290329</v>
      </c>
      <c r="L246" s="236"/>
      <c r="M246" s="237">
        <f>'MATRIZ COMPLETO PROPOSTA'!BD246+
 'MATRIZ COMPLETO PROPOSTA'!BA246+
 'MATRIZ COMPLETO PROPOSTA'!AX246+
 'MATRIZ COMPLETO PROPOSTA'!AS246+
 'MATRIZ COMPLETO PROPOSTA'!AM246</f>
        <v>735201.48632041784</v>
      </c>
      <c r="N246" s="236"/>
      <c r="O246" s="237"/>
      <c r="P246" s="236"/>
      <c r="Q246" s="243"/>
    </row>
    <row r="247" spans="2:17" x14ac:dyDescent="0.3">
      <c r="B247" s="230" t="s">
        <v>351</v>
      </c>
      <c r="C247" s="230" t="s">
        <v>375</v>
      </c>
      <c r="D247" s="230" t="s">
        <v>92</v>
      </c>
      <c r="G247" s="200">
        <f ca="1">'MATRIZ COMPLETO PROPOSTA'!H247</f>
        <v>4908911.783413724</v>
      </c>
      <c r="H247" s="200"/>
      <c r="I247" s="200"/>
      <c r="J247" s="200"/>
      <c r="K247" s="200">
        <f t="shared" ca="1" si="11"/>
        <v>4908911.783413724</v>
      </c>
      <c r="M247" s="200">
        <f>'MATRIZ COMPLETO PROPOSTA'!BD247+
 'MATRIZ COMPLETO PROPOSTA'!BA247+
 'MATRIZ COMPLETO PROPOSTA'!AX247+
 'MATRIZ COMPLETO PROPOSTA'!AS247+
 'MATRIZ COMPLETO PROPOSTA'!AM247</f>
        <v>1635652.1577461804</v>
      </c>
      <c r="O247" s="200"/>
      <c r="Q247" s="240"/>
    </row>
    <row r="248" spans="2:17" x14ac:dyDescent="0.3">
      <c r="B248" s="235" t="s">
        <v>351</v>
      </c>
      <c r="C248" s="235" t="s">
        <v>376</v>
      </c>
      <c r="D248" s="235" t="s">
        <v>94</v>
      </c>
      <c r="E248" s="236"/>
      <c r="F248" s="236"/>
      <c r="G248" s="237">
        <f ca="1">'MATRIZ COMPLETO PROPOSTA'!H248</f>
        <v>7630430.2115699612</v>
      </c>
      <c r="H248" s="237"/>
      <c r="I248" s="237"/>
      <c r="J248" s="237"/>
      <c r="K248" s="237">
        <f t="shared" ca="1" si="11"/>
        <v>7630430.2115699612</v>
      </c>
      <c r="L248" s="236"/>
      <c r="M248" s="237">
        <f>'MATRIZ COMPLETO PROPOSTA'!BD248+
 'MATRIZ COMPLETO PROPOSTA'!BA248+
 'MATRIZ COMPLETO PROPOSTA'!AX248+
 'MATRIZ COMPLETO PROPOSTA'!AS248+
 'MATRIZ COMPLETO PROPOSTA'!AM248</f>
        <v>2799677.9956400469</v>
      </c>
      <c r="N248" s="236"/>
      <c r="O248" s="237"/>
      <c r="P248" s="236"/>
      <c r="Q248" s="243"/>
    </row>
    <row r="249" spans="2:17" x14ac:dyDescent="0.3">
      <c r="B249" s="230" t="s">
        <v>351</v>
      </c>
      <c r="C249" s="230" t="s">
        <v>377</v>
      </c>
      <c r="D249" s="230" t="s">
        <v>92</v>
      </c>
      <c r="G249" s="200">
        <f ca="1">'MATRIZ COMPLETO PROPOSTA'!H249</f>
        <v>3044819.0765365581</v>
      </c>
      <c r="H249" s="200"/>
      <c r="I249" s="200"/>
      <c r="J249" s="200"/>
      <c r="K249" s="200">
        <f t="shared" ca="1" si="11"/>
        <v>3044819.0765365581</v>
      </c>
      <c r="M249" s="200">
        <f>'MATRIZ COMPLETO PROPOSTA'!BD249+
 'MATRIZ COMPLETO PROPOSTA'!BA249+
 'MATRIZ COMPLETO PROPOSTA'!AX249+
 'MATRIZ COMPLETO PROPOSTA'!AS249+
 'MATRIZ COMPLETO PROPOSTA'!AM249</f>
        <v>1116395.7205171071</v>
      </c>
      <c r="O249" s="200"/>
      <c r="Q249" s="240"/>
    </row>
    <row r="250" spans="2:17" x14ac:dyDescent="0.3">
      <c r="B250" s="235" t="s">
        <v>351</v>
      </c>
      <c r="C250" s="235" t="s">
        <v>378</v>
      </c>
      <c r="D250" s="235" t="s">
        <v>94</v>
      </c>
      <c r="E250" s="236"/>
      <c r="F250" s="236"/>
      <c r="G250" s="237">
        <f ca="1">'MATRIZ COMPLETO PROPOSTA'!H250</f>
        <v>2143483.0309757576</v>
      </c>
      <c r="H250" s="237"/>
      <c r="I250" s="237"/>
      <c r="J250" s="237"/>
      <c r="K250" s="237">
        <f t="shared" ca="1" si="11"/>
        <v>2143483.0309757576</v>
      </c>
      <c r="L250" s="236"/>
      <c r="M250" s="237">
        <f>'MATRIZ COMPLETO PROPOSTA'!BD250+
 'MATRIZ COMPLETO PROPOSTA'!BA250+
 'MATRIZ COMPLETO PROPOSTA'!AX250+
 'MATRIZ COMPLETO PROPOSTA'!AS250+
 'MATRIZ COMPLETO PROPOSTA'!AM250</f>
        <v>918751.31007555977</v>
      </c>
      <c r="N250" s="236"/>
      <c r="O250" s="237"/>
      <c r="P250" s="236"/>
      <c r="Q250" s="243"/>
    </row>
    <row r="251" spans="2:17" x14ac:dyDescent="0.3">
      <c r="B251" s="230" t="s">
        <v>351</v>
      </c>
      <c r="C251" s="230" t="s">
        <v>379</v>
      </c>
      <c r="D251" s="230" t="s">
        <v>94</v>
      </c>
      <c r="G251" s="200">
        <f ca="1">'MATRIZ COMPLETO PROPOSTA'!H251</f>
        <v>614033.98469057435</v>
      </c>
      <c r="H251" s="200"/>
      <c r="I251" s="200"/>
      <c r="J251" s="200"/>
      <c r="K251" s="200">
        <f t="shared" ca="1" si="11"/>
        <v>614033.98469057435</v>
      </c>
      <c r="M251" s="200">
        <f>'MATRIZ COMPLETO PROPOSTA'!BD251+
 'MATRIZ COMPLETO PROPOSTA'!BA251+
 'MATRIZ COMPLETO PROPOSTA'!AX251+
 'MATRIZ COMPLETO PROPOSTA'!AS251+
 'MATRIZ COMPLETO PROPOSTA'!AM251</f>
        <v>206632.66671507203</v>
      </c>
      <c r="O251" s="200"/>
      <c r="Q251" s="240"/>
    </row>
    <row r="252" spans="2:17" x14ac:dyDescent="0.3">
      <c r="B252" s="235" t="s">
        <v>351</v>
      </c>
      <c r="C252" s="235" t="s">
        <v>380</v>
      </c>
      <c r="D252" s="235" t="s">
        <v>94</v>
      </c>
      <c r="E252" s="236"/>
      <c r="F252" s="236"/>
      <c r="G252" s="237">
        <f ca="1">'MATRIZ COMPLETO PROPOSTA'!H252</f>
        <v>1824073.6266860717</v>
      </c>
      <c r="H252" s="237"/>
      <c r="I252" s="237"/>
      <c r="J252" s="237"/>
      <c r="K252" s="237">
        <f t="shared" ca="1" si="11"/>
        <v>1824073.6266860717</v>
      </c>
      <c r="L252" s="236"/>
      <c r="M252" s="237">
        <f>'MATRIZ COMPLETO PROPOSTA'!BD252+
 'MATRIZ COMPLETO PROPOSTA'!BA252+
 'MATRIZ COMPLETO PROPOSTA'!AX252+
 'MATRIZ COMPLETO PROPOSTA'!AS252+
 'MATRIZ COMPLETO PROPOSTA'!AM252</f>
        <v>582037.09993473045</v>
      </c>
      <c r="N252" s="236"/>
      <c r="O252" s="237"/>
      <c r="P252" s="236"/>
      <c r="Q252" s="243"/>
    </row>
    <row r="253" spans="2:17" x14ac:dyDescent="0.3">
      <c r="B253" s="230" t="s">
        <v>351</v>
      </c>
      <c r="C253" s="230" t="s">
        <v>381</v>
      </c>
      <c r="D253" s="230" t="s">
        <v>209</v>
      </c>
      <c r="G253" s="200">
        <f ca="1">'MATRIZ COMPLETO PROPOSTA'!H253</f>
        <v>0</v>
      </c>
      <c r="H253" s="200"/>
      <c r="I253" s="200"/>
      <c r="J253" s="200"/>
      <c r="K253" s="200">
        <f t="shared" ca="1" si="11"/>
        <v>0</v>
      </c>
      <c r="M253" s="200">
        <f>'MATRIZ COMPLETO PROPOSTA'!BD253+
 'MATRIZ COMPLETO PROPOSTA'!BA253+
 'MATRIZ COMPLETO PROPOSTA'!AX253+
 'MATRIZ COMPLETO PROPOSTA'!AS253+
 'MATRIZ COMPLETO PROPOSTA'!AM253</f>
        <v>0</v>
      </c>
      <c r="O253" s="200"/>
      <c r="Q253" s="240"/>
    </row>
    <row r="254" spans="2:17" x14ac:dyDescent="0.3">
      <c r="G254" s="200"/>
      <c r="H254" s="200"/>
      <c r="I254" s="200"/>
      <c r="J254" s="200"/>
      <c r="K254" s="200"/>
      <c r="M254" s="200"/>
      <c r="O254" s="200"/>
      <c r="Q254" s="240"/>
    </row>
    <row r="255" spans="2:17" x14ac:dyDescent="0.3">
      <c r="B255" s="231" t="s">
        <v>382</v>
      </c>
      <c r="C255" s="231" t="s">
        <v>383</v>
      </c>
      <c r="D255" s="232" t="s">
        <v>154</v>
      </c>
      <c r="E255" s="232"/>
      <c r="F255" s="232"/>
      <c r="G255" s="238">
        <f ca="1">SUM(G256:G265)</f>
        <v>27995798.449429125</v>
      </c>
      <c r="H255" s="238">
        <f>'MATRIZ COMPLETO PROPOSTA'!Y255</f>
        <v>2238057.1446752264</v>
      </c>
      <c r="I255" s="238">
        <f>'MATRIZ COMPLETO PROPOSTA'!AA255</f>
        <v>450237.41005465068</v>
      </c>
      <c r="J255" s="238">
        <f>'MATRIZ COMPLETO PROPOSTA'!AC255</f>
        <v>1578959.8629572727</v>
      </c>
      <c r="K255" s="238">
        <f ca="1">SUM(G255:J255)</f>
        <v>32263052.867116272</v>
      </c>
      <c r="L255" s="232"/>
      <c r="M255" s="238">
        <f>SUM(M256:M265)</f>
        <v>7469736.087798005</v>
      </c>
      <c r="N255" s="232"/>
      <c r="O255" s="238">
        <f ca="1">K255*'DADOS BASE'!$I$22</f>
        <v>48394.579300674406</v>
      </c>
      <c r="P255" s="232"/>
      <c r="Q255" s="241">
        <f ca="1">SUM(H255:J255)/K255</f>
        <v>0.13226443372432672</v>
      </c>
    </row>
    <row r="256" spans="2:17" x14ac:dyDescent="0.3">
      <c r="B256" s="233" t="s">
        <v>382</v>
      </c>
      <c r="C256" s="234" t="s">
        <v>156</v>
      </c>
      <c r="D256" s="234" t="s">
        <v>157</v>
      </c>
      <c r="E256" s="234"/>
      <c r="F256" s="234"/>
      <c r="G256" s="239">
        <f>('MATRIZ COMPLETO PROPOSTA'!L255+
  'MATRIZ COMPLETO PROPOSTA'!P255*0.25+
  'MATRIZ COMPLETO PROPOSTA'!S255*0.8)
 /
 ('MATRIZ COMPLETO PROPOSTA'!L11+
  'MATRIZ COMPLETO PROPOSTA'!P11*0.25+
  'MATRIZ COMPLETO PROPOSTA'!S11*0.8)
 *
 'DADOS BASE'!$J$93</f>
        <v>3110644.2721587913</v>
      </c>
      <c r="H256" s="239"/>
      <c r="I256" s="239"/>
      <c r="J256" s="239"/>
      <c r="K256" s="239">
        <f t="shared" ref="K256:K265" si="12">J256+I256+H256+G256</f>
        <v>3110644.2721587913</v>
      </c>
      <c r="L256" s="234"/>
      <c r="M256" s="239">
        <f>'MATRIZ COMPLETO PROPOSTA'!BD256+
 'MATRIZ COMPLETO PROPOSTA'!BA256+
 'MATRIZ COMPLETO PROPOSTA'!AX256+
 'MATRIZ COMPLETO PROPOSTA'!AS256+
 'MATRIZ COMPLETO PROPOSTA'!AM256</f>
        <v>0</v>
      </c>
      <c r="N256" s="234"/>
      <c r="O256" s="239"/>
      <c r="P256" s="234"/>
      <c r="Q256" s="242"/>
    </row>
    <row r="257" spans="2:17" x14ac:dyDescent="0.3">
      <c r="B257" s="230" t="s">
        <v>382</v>
      </c>
      <c r="C257" s="230" t="s">
        <v>384</v>
      </c>
      <c r="D257" s="230" t="s">
        <v>94</v>
      </c>
      <c r="G257" s="200">
        <f ca="1">'MATRIZ COMPLETO PROPOSTA'!H257</f>
        <v>1868867.7135738605</v>
      </c>
      <c r="H257" s="200"/>
      <c r="I257" s="200"/>
      <c r="J257" s="200"/>
      <c r="K257" s="200">
        <f t="shared" ca="1" si="12"/>
        <v>1868867.7135738605</v>
      </c>
      <c r="M257" s="200">
        <f>'MATRIZ COMPLETO PROPOSTA'!BD257+
 'MATRIZ COMPLETO PROPOSTA'!BA257+
 'MATRIZ COMPLETO PROPOSTA'!AX257+
 'MATRIZ COMPLETO PROPOSTA'!AS257+
 'MATRIZ COMPLETO PROPOSTA'!AM257</f>
        <v>575045.28460027743</v>
      </c>
      <c r="O257" s="200"/>
      <c r="Q257" s="240"/>
    </row>
    <row r="258" spans="2:17" x14ac:dyDescent="0.3">
      <c r="B258" s="235" t="s">
        <v>382</v>
      </c>
      <c r="C258" s="235" t="s">
        <v>385</v>
      </c>
      <c r="D258" s="235" t="s">
        <v>94</v>
      </c>
      <c r="E258" s="236"/>
      <c r="F258" s="236"/>
      <c r="G258" s="237">
        <f ca="1">'MATRIZ COMPLETO PROPOSTA'!H258</f>
        <v>833817.25306500786</v>
      </c>
      <c r="H258" s="237"/>
      <c r="I258" s="237"/>
      <c r="J258" s="237"/>
      <c r="K258" s="237">
        <f t="shared" ca="1" si="12"/>
        <v>833817.25306500786</v>
      </c>
      <c r="L258" s="236"/>
      <c r="M258" s="237">
        <f>'MATRIZ COMPLETO PROPOSTA'!BD258+
 'MATRIZ COMPLETO PROPOSTA'!BA258+
 'MATRIZ COMPLETO PROPOSTA'!AX258+
 'MATRIZ COMPLETO PROPOSTA'!AS258+
 'MATRIZ COMPLETO PROPOSTA'!AM258</f>
        <v>275965.45016509137</v>
      </c>
      <c r="N258" s="236"/>
      <c r="O258" s="237"/>
      <c r="P258" s="236"/>
      <c r="Q258" s="243"/>
    </row>
    <row r="259" spans="2:17" x14ac:dyDescent="0.3">
      <c r="B259" s="230" t="s">
        <v>382</v>
      </c>
      <c r="C259" s="230" t="s">
        <v>386</v>
      </c>
      <c r="D259" s="230" t="s">
        <v>94</v>
      </c>
      <c r="G259" s="200">
        <f ca="1">'MATRIZ COMPLETO PROPOSTA'!H259</f>
        <v>1476099.4416850603</v>
      </c>
      <c r="H259" s="200"/>
      <c r="I259" s="200"/>
      <c r="J259" s="200"/>
      <c r="K259" s="200">
        <f t="shared" ca="1" si="12"/>
        <v>1476099.4416850603</v>
      </c>
      <c r="M259" s="200">
        <f>'MATRIZ COMPLETO PROPOSTA'!BD259+
 'MATRIZ COMPLETO PROPOSTA'!BA259+
 'MATRIZ COMPLETO PROPOSTA'!AX259+
 'MATRIZ COMPLETO PROPOSTA'!AS259+
 'MATRIZ COMPLETO PROPOSTA'!AM259</f>
        <v>503617.96238116955</v>
      </c>
      <c r="O259" s="200"/>
      <c r="Q259" s="240"/>
    </row>
    <row r="260" spans="2:17" x14ac:dyDescent="0.3">
      <c r="B260" s="235" t="s">
        <v>382</v>
      </c>
      <c r="C260" s="235" t="s">
        <v>387</v>
      </c>
      <c r="D260" s="235" t="s">
        <v>94</v>
      </c>
      <c r="E260" s="236"/>
      <c r="F260" s="236"/>
      <c r="G260" s="237">
        <f ca="1">'MATRIZ COMPLETO PROPOSTA'!H260</f>
        <v>1769218.3308384982</v>
      </c>
      <c r="H260" s="237"/>
      <c r="I260" s="237"/>
      <c r="J260" s="237"/>
      <c r="K260" s="237">
        <f t="shared" ca="1" si="12"/>
        <v>1769218.3308384982</v>
      </c>
      <c r="L260" s="236"/>
      <c r="M260" s="237">
        <f>'MATRIZ COMPLETO PROPOSTA'!BD260+
 'MATRIZ COMPLETO PROPOSTA'!BA260+
 'MATRIZ COMPLETO PROPOSTA'!AX260+
 'MATRIZ COMPLETO PROPOSTA'!AS260+
 'MATRIZ COMPLETO PROPOSTA'!AM260</f>
        <v>568292.17786144826</v>
      </c>
      <c r="N260" s="236"/>
      <c r="O260" s="237"/>
      <c r="P260" s="236"/>
      <c r="Q260" s="243"/>
    </row>
    <row r="261" spans="2:17" x14ac:dyDescent="0.3">
      <c r="B261" s="230" t="s">
        <v>382</v>
      </c>
      <c r="C261" s="230" t="s">
        <v>388</v>
      </c>
      <c r="D261" s="230" t="s">
        <v>94</v>
      </c>
      <c r="G261" s="200">
        <f ca="1">'MATRIZ COMPLETO PROPOSTA'!H261</f>
        <v>1722762.7628923545</v>
      </c>
      <c r="H261" s="200"/>
      <c r="I261" s="200"/>
      <c r="J261" s="200"/>
      <c r="K261" s="200">
        <f t="shared" ca="1" si="12"/>
        <v>1722762.7628923545</v>
      </c>
      <c r="M261" s="200">
        <f>'MATRIZ COMPLETO PROPOSTA'!BD261+
 'MATRIZ COMPLETO PROPOSTA'!BA261+
 'MATRIZ COMPLETO PROPOSTA'!AX261+
 'MATRIZ COMPLETO PROPOSTA'!AS261+
 'MATRIZ COMPLETO PROPOSTA'!AM261</f>
        <v>602739.20254930877</v>
      </c>
      <c r="O261" s="200"/>
      <c r="Q261" s="240"/>
    </row>
    <row r="262" spans="2:17" x14ac:dyDescent="0.3">
      <c r="B262" s="235" t="s">
        <v>382</v>
      </c>
      <c r="C262" s="235" t="s">
        <v>389</v>
      </c>
      <c r="D262" s="235" t="s">
        <v>94</v>
      </c>
      <c r="E262" s="236"/>
      <c r="F262" s="236"/>
      <c r="G262" s="237">
        <f ca="1">'MATRIZ COMPLETO PROPOSTA'!H262</f>
        <v>1198729.688552792</v>
      </c>
      <c r="H262" s="237"/>
      <c r="I262" s="237"/>
      <c r="J262" s="237"/>
      <c r="K262" s="237">
        <f t="shared" ca="1" si="12"/>
        <v>1198729.688552792</v>
      </c>
      <c r="L262" s="236"/>
      <c r="M262" s="237">
        <f>'MATRIZ COMPLETO PROPOSTA'!BD262+
 'MATRIZ COMPLETO PROPOSTA'!BA262+
 'MATRIZ COMPLETO PROPOSTA'!AX262+
 'MATRIZ COMPLETO PROPOSTA'!AS262+
 'MATRIZ COMPLETO PROPOSTA'!AM262</f>
        <v>449368.57206684694</v>
      </c>
      <c r="N262" s="236"/>
      <c r="O262" s="237"/>
      <c r="P262" s="236"/>
      <c r="Q262" s="243"/>
    </row>
    <row r="263" spans="2:17" x14ac:dyDescent="0.3">
      <c r="B263" s="230" t="s">
        <v>382</v>
      </c>
      <c r="C263" s="230" t="s">
        <v>390</v>
      </c>
      <c r="D263" s="230" t="s">
        <v>94</v>
      </c>
      <c r="G263" s="200">
        <f ca="1">'MATRIZ COMPLETO PROPOSTA'!H263</f>
        <v>1600876.9933937991</v>
      </c>
      <c r="H263" s="200"/>
      <c r="I263" s="200"/>
      <c r="J263" s="200"/>
      <c r="K263" s="200">
        <f t="shared" ca="1" si="12"/>
        <v>1600876.9933937991</v>
      </c>
      <c r="M263" s="200">
        <f>'MATRIZ COMPLETO PROPOSTA'!BD263+
 'MATRIZ COMPLETO PROPOSTA'!BA263+
 'MATRIZ COMPLETO PROPOSTA'!AX263+
 'MATRIZ COMPLETO PROPOSTA'!AS263+
 'MATRIZ COMPLETO PROPOSTA'!AM263</f>
        <v>485403.91963195527</v>
      </c>
      <c r="O263" s="200"/>
      <c r="Q263" s="240"/>
    </row>
    <row r="264" spans="2:17" x14ac:dyDescent="0.3">
      <c r="B264" s="235" t="s">
        <v>382</v>
      </c>
      <c r="C264" s="235" t="s">
        <v>391</v>
      </c>
      <c r="D264" s="235" t="s">
        <v>94</v>
      </c>
      <c r="E264" s="236"/>
      <c r="F264" s="236"/>
      <c r="G264" s="237">
        <f ca="1">'MATRIZ COMPLETO PROPOSTA'!H264</f>
        <v>1735619.1568297523</v>
      </c>
      <c r="H264" s="237"/>
      <c r="I264" s="237"/>
      <c r="J264" s="237"/>
      <c r="K264" s="237">
        <f t="shared" ca="1" si="12"/>
        <v>1735619.1568297523</v>
      </c>
      <c r="L264" s="236"/>
      <c r="M264" s="237">
        <f>'MATRIZ COMPLETO PROPOSTA'!BD264+
 'MATRIZ COMPLETO PROPOSTA'!BA264+
 'MATRIZ COMPLETO PROPOSTA'!AX264+
 'MATRIZ COMPLETO PROPOSTA'!AS264+
 'MATRIZ COMPLETO PROPOSTA'!AM264</f>
        <v>540613.75187871233</v>
      </c>
      <c r="N264" s="236"/>
      <c r="O264" s="237"/>
      <c r="P264" s="236"/>
      <c r="Q264" s="243"/>
    </row>
    <row r="265" spans="2:17" x14ac:dyDescent="0.3">
      <c r="B265" s="230" t="s">
        <v>382</v>
      </c>
      <c r="C265" s="230" t="s">
        <v>392</v>
      </c>
      <c r="D265" s="230" t="s">
        <v>94</v>
      </c>
      <c r="G265" s="200">
        <f ca="1">'MATRIZ COMPLETO PROPOSTA'!H265</f>
        <v>12679162.836439207</v>
      </c>
      <c r="H265" s="200"/>
      <c r="I265" s="200"/>
      <c r="J265" s="200"/>
      <c r="K265" s="200">
        <f t="shared" ca="1" si="12"/>
        <v>12679162.836439207</v>
      </c>
      <c r="M265" s="200">
        <f>'MATRIZ COMPLETO PROPOSTA'!BD265+
 'MATRIZ COMPLETO PROPOSTA'!BA265+
 'MATRIZ COMPLETO PROPOSTA'!AX265+
 'MATRIZ COMPLETO PROPOSTA'!AS265+
 'MATRIZ COMPLETO PROPOSTA'!AM265</f>
        <v>3468689.7666631956</v>
      </c>
      <c r="O265" s="200"/>
      <c r="Q265" s="240"/>
    </row>
    <row r="266" spans="2:17" x14ac:dyDescent="0.3">
      <c r="G266" s="200"/>
      <c r="H266" s="200"/>
      <c r="I266" s="200"/>
      <c r="J266" s="200"/>
      <c r="K266" s="200"/>
      <c r="M266" s="200"/>
      <c r="O266" s="200"/>
      <c r="Q266" s="240"/>
    </row>
    <row r="267" spans="2:17" x14ac:dyDescent="0.3">
      <c r="B267" s="231" t="s">
        <v>382</v>
      </c>
      <c r="C267" s="231" t="s">
        <v>393</v>
      </c>
      <c r="D267" s="232" t="s">
        <v>154</v>
      </c>
      <c r="E267" s="232"/>
      <c r="F267" s="232"/>
      <c r="G267" s="238">
        <f ca="1">SUM(G268:G286)</f>
        <v>40069971.653342687</v>
      </c>
      <c r="H267" s="238">
        <f>'MATRIZ COMPLETO PROPOSTA'!Y267</f>
        <v>2306802.9272761722</v>
      </c>
      <c r="I267" s="238">
        <f>'MATRIZ COMPLETO PROPOSTA'!AA267</f>
        <v>1395688.3773628573</v>
      </c>
      <c r="J267" s="238">
        <f>'MATRIZ COMPLETO PROPOSTA'!AC267</f>
        <v>1068801.8960158594</v>
      </c>
      <c r="K267" s="238">
        <f ca="1">SUM(G267:J267)</f>
        <v>44841264.853997573</v>
      </c>
      <c r="L267" s="232"/>
      <c r="M267" s="238">
        <f>SUM(M268:M286)</f>
        <v>13383075.000341097</v>
      </c>
      <c r="N267" s="232"/>
      <c r="O267" s="238">
        <f ca="1">K267*'DADOS BASE'!$I$22</f>
        <v>67261.89728099636</v>
      </c>
      <c r="P267" s="232"/>
      <c r="Q267" s="241">
        <f ca="1">SUM(H267:J267)/K267</f>
        <v>0.10640407259229064</v>
      </c>
    </row>
    <row r="268" spans="2:17" x14ac:dyDescent="0.3">
      <c r="B268" s="233" t="s">
        <v>382</v>
      </c>
      <c r="C268" s="234" t="s">
        <v>156</v>
      </c>
      <c r="D268" s="234" t="s">
        <v>157</v>
      </c>
      <c r="E268" s="234"/>
      <c r="F268" s="234"/>
      <c r="G268" s="239">
        <f>('MATRIZ COMPLETO PROPOSTA'!L267+
  'MATRIZ COMPLETO PROPOSTA'!P267*0.25+
  'MATRIZ COMPLETO PROPOSTA'!S267*0.8)
 /
 ('MATRIZ COMPLETO PROPOSTA'!L11+
  'MATRIZ COMPLETO PROPOSTA'!P11*0.25+
  'MATRIZ COMPLETO PROPOSTA'!S11*0.8)
 *
 'DADOS BASE'!$J$93</f>
        <v>4452219.0725936322</v>
      </c>
      <c r="H268" s="239"/>
      <c r="I268" s="239"/>
      <c r="J268" s="239"/>
      <c r="K268" s="239">
        <f t="shared" ref="K268:K286" si="13">J268+I268+H268+G268</f>
        <v>4452219.0725936322</v>
      </c>
      <c r="L268" s="234"/>
      <c r="M268" s="239">
        <f>'MATRIZ COMPLETO PROPOSTA'!BD268+
 'MATRIZ COMPLETO PROPOSTA'!BA268+
 'MATRIZ COMPLETO PROPOSTA'!AX268+
 'MATRIZ COMPLETO PROPOSTA'!AS268+
 'MATRIZ COMPLETO PROPOSTA'!AM268</f>
        <v>0</v>
      </c>
      <c r="N268" s="234"/>
      <c r="O268" s="239"/>
      <c r="P268" s="234"/>
      <c r="Q268" s="242"/>
    </row>
    <row r="269" spans="2:17" x14ac:dyDescent="0.3">
      <c r="B269" s="230" t="s">
        <v>382</v>
      </c>
      <c r="C269" s="230" t="s">
        <v>394</v>
      </c>
      <c r="D269" s="230" t="s">
        <v>98</v>
      </c>
      <c r="G269" s="200">
        <f ca="1">'MATRIZ COMPLETO PROPOSTA'!H269</f>
        <v>1080943.292311575</v>
      </c>
      <c r="H269" s="200"/>
      <c r="I269" s="200"/>
      <c r="J269" s="200"/>
      <c r="K269" s="200">
        <f t="shared" ca="1" si="13"/>
        <v>1080943.292311575</v>
      </c>
      <c r="M269" s="200">
        <f>'MATRIZ COMPLETO PROPOSTA'!BD269+
 'MATRIZ COMPLETO PROPOSTA'!BA269+
 'MATRIZ COMPLETO PROPOSTA'!AX269+
 'MATRIZ COMPLETO PROPOSTA'!AS269+
 'MATRIZ COMPLETO PROPOSTA'!AM269</f>
        <v>244733.06370899116</v>
      </c>
      <c r="O269" s="200"/>
      <c r="Q269" s="240"/>
    </row>
    <row r="270" spans="2:17" x14ac:dyDescent="0.3">
      <c r="B270" s="235" t="s">
        <v>382</v>
      </c>
      <c r="C270" s="235" t="s">
        <v>395</v>
      </c>
      <c r="D270" s="235" t="s">
        <v>98</v>
      </c>
      <c r="E270" s="236"/>
      <c r="F270" s="236"/>
      <c r="G270" s="237">
        <f ca="1">'MATRIZ COMPLETO PROPOSTA'!H270</f>
        <v>1184935.1693837715</v>
      </c>
      <c r="H270" s="237"/>
      <c r="I270" s="237"/>
      <c r="J270" s="237"/>
      <c r="K270" s="237">
        <f t="shared" ca="1" si="13"/>
        <v>1184935.1693837715</v>
      </c>
      <c r="L270" s="236"/>
      <c r="M270" s="237">
        <f>'MATRIZ COMPLETO PROPOSTA'!BD270+
 'MATRIZ COMPLETO PROPOSTA'!BA270+
 'MATRIZ COMPLETO PROPOSTA'!AX270+
 'MATRIZ COMPLETO PROPOSTA'!AS270+
 'MATRIZ COMPLETO PROPOSTA'!AM270</f>
        <v>309509.52915839519</v>
      </c>
      <c r="N270" s="236"/>
      <c r="O270" s="237"/>
      <c r="P270" s="236"/>
      <c r="Q270" s="243"/>
    </row>
    <row r="271" spans="2:17" x14ac:dyDescent="0.3">
      <c r="B271" s="230" t="s">
        <v>382</v>
      </c>
      <c r="C271" s="230" t="s">
        <v>396</v>
      </c>
      <c r="D271" s="230" t="s">
        <v>98</v>
      </c>
      <c r="G271" s="200">
        <f ca="1">'MATRIZ COMPLETO PROPOSTA'!H271</f>
        <v>1205211.5121868199</v>
      </c>
      <c r="H271" s="200"/>
      <c r="I271" s="200"/>
      <c r="J271" s="200"/>
      <c r="K271" s="200">
        <f t="shared" ca="1" si="13"/>
        <v>1205211.5121868199</v>
      </c>
      <c r="M271" s="200">
        <f>'MATRIZ COMPLETO PROPOSTA'!BD271+
 'MATRIZ COMPLETO PROPOSTA'!BA271+
 'MATRIZ COMPLETO PROPOSTA'!AX271+
 'MATRIZ COMPLETO PROPOSTA'!AS271+
 'MATRIZ COMPLETO PROPOSTA'!AM271</f>
        <v>384747.77597813529</v>
      </c>
      <c r="O271" s="200"/>
      <c r="Q271" s="240"/>
    </row>
    <row r="272" spans="2:17" x14ac:dyDescent="0.3">
      <c r="B272" s="235" t="s">
        <v>382</v>
      </c>
      <c r="C272" s="235" t="s">
        <v>397</v>
      </c>
      <c r="D272" s="235" t="s">
        <v>98</v>
      </c>
      <c r="E272" s="236"/>
      <c r="F272" s="236"/>
      <c r="G272" s="237">
        <f ca="1">'MATRIZ COMPLETO PROPOSTA'!H272</f>
        <v>875923.80506725202</v>
      </c>
      <c r="H272" s="237"/>
      <c r="I272" s="237"/>
      <c r="J272" s="237"/>
      <c r="K272" s="237">
        <f t="shared" ca="1" si="13"/>
        <v>875923.80506725202</v>
      </c>
      <c r="L272" s="236"/>
      <c r="M272" s="237">
        <f>'MATRIZ COMPLETO PROPOSTA'!BD272+
 'MATRIZ COMPLETO PROPOSTA'!BA272+
 'MATRIZ COMPLETO PROPOSTA'!AX272+
 'MATRIZ COMPLETO PROPOSTA'!AS272+
 'MATRIZ COMPLETO PROPOSTA'!AM272</f>
        <v>225662.58606690107</v>
      </c>
      <c r="N272" s="236"/>
      <c r="O272" s="237"/>
      <c r="P272" s="236"/>
      <c r="Q272" s="243"/>
    </row>
    <row r="273" spans="2:17" x14ac:dyDescent="0.3">
      <c r="B273" s="230" t="s">
        <v>382</v>
      </c>
      <c r="C273" s="230" t="s">
        <v>398</v>
      </c>
      <c r="D273" s="230" t="s">
        <v>98</v>
      </c>
      <c r="G273" s="200">
        <f ca="1">'MATRIZ COMPLETO PROPOSTA'!H273</f>
        <v>869874.43526112055</v>
      </c>
      <c r="H273" s="200"/>
      <c r="I273" s="200"/>
      <c r="J273" s="200"/>
      <c r="K273" s="200">
        <f t="shared" ca="1" si="13"/>
        <v>869874.43526112055</v>
      </c>
      <c r="M273" s="200">
        <f>'MATRIZ COMPLETO PROPOSTA'!BD273+
 'MATRIZ COMPLETO PROPOSTA'!BA273+
 'MATRIZ COMPLETO PROPOSTA'!AX273+
 'MATRIZ COMPLETO PROPOSTA'!AS273+
 'MATRIZ COMPLETO PROPOSTA'!AM273</f>
        <v>273947.32387390698</v>
      </c>
      <c r="O273" s="200"/>
      <c r="Q273" s="240"/>
    </row>
    <row r="274" spans="2:17" x14ac:dyDescent="0.3">
      <c r="B274" s="235" t="s">
        <v>382</v>
      </c>
      <c r="C274" s="235" t="s">
        <v>399</v>
      </c>
      <c r="D274" s="235" t="s">
        <v>98</v>
      </c>
      <c r="E274" s="236"/>
      <c r="F274" s="236"/>
      <c r="G274" s="237">
        <f ca="1">'MATRIZ COMPLETO PROPOSTA'!H274</f>
        <v>552662.57656318566</v>
      </c>
      <c r="H274" s="237"/>
      <c r="I274" s="237"/>
      <c r="J274" s="237"/>
      <c r="K274" s="237">
        <f t="shared" ca="1" si="13"/>
        <v>552662.57656318566</v>
      </c>
      <c r="L274" s="236"/>
      <c r="M274" s="237">
        <f>'MATRIZ COMPLETO PROPOSTA'!BD274+
 'MATRIZ COMPLETO PROPOSTA'!BA274+
 'MATRIZ COMPLETO PROPOSTA'!AX274+
 'MATRIZ COMPLETO PROPOSTA'!AS274+
 'MATRIZ COMPLETO PROPOSTA'!AM274</f>
        <v>309391.61100810388</v>
      </c>
      <c r="N274" s="236"/>
      <c r="O274" s="237"/>
      <c r="P274" s="236"/>
      <c r="Q274" s="243"/>
    </row>
    <row r="275" spans="2:17" x14ac:dyDescent="0.3">
      <c r="B275" s="230" t="s">
        <v>382</v>
      </c>
      <c r="C275" s="230" t="s">
        <v>400</v>
      </c>
      <c r="D275" s="230" t="s">
        <v>92</v>
      </c>
      <c r="G275" s="200">
        <f ca="1">'MATRIZ COMPLETO PROPOSTA'!H275</f>
        <v>4512289.6352859521</v>
      </c>
      <c r="H275" s="200"/>
      <c r="I275" s="200"/>
      <c r="J275" s="200"/>
      <c r="K275" s="200">
        <f t="shared" ca="1" si="13"/>
        <v>4512289.6352859521</v>
      </c>
      <c r="M275" s="200">
        <f>'MATRIZ COMPLETO PROPOSTA'!BD275+
 'MATRIZ COMPLETO PROPOSTA'!BA275+
 'MATRIZ COMPLETO PROPOSTA'!AX275+
 'MATRIZ COMPLETO PROPOSTA'!AS275+
 'MATRIZ COMPLETO PROPOSTA'!AM275</f>
        <v>2580765.8807497555</v>
      </c>
      <c r="O275" s="200"/>
      <c r="Q275" s="240"/>
    </row>
    <row r="276" spans="2:17" x14ac:dyDescent="0.3">
      <c r="B276" s="235" t="s">
        <v>382</v>
      </c>
      <c r="C276" s="235" t="s">
        <v>401</v>
      </c>
      <c r="D276" s="235" t="s">
        <v>94</v>
      </c>
      <c r="E276" s="236"/>
      <c r="F276" s="236"/>
      <c r="G276" s="237">
        <f ca="1">'MATRIZ COMPLETO PROPOSTA'!H276</f>
        <v>2477914.5840964084</v>
      </c>
      <c r="H276" s="237"/>
      <c r="I276" s="237"/>
      <c r="J276" s="237"/>
      <c r="K276" s="237">
        <f t="shared" ca="1" si="13"/>
        <v>2477914.5840964084</v>
      </c>
      <c r="L276" s="236"/>
      <c r="M276" s="237">
        <f>'MATRIZ COMPLETO PROPOSTA'!BD276+
 'MATRIZ COMPLETO PROPOSTA'!BA276+
 'MATRIZ COMPLETO PROPOSTA'!AX276+
 'MATRIZ COMPLETO PROPOSTA'!AS276+
 'MATRIZ COMPLETO PROPOSTA'!AM276</f>
        <v>575258.69515585585</v>
      </c>
      <c r="N276" s="236"/>
      <c r="O276" s="237"/>
      <c r="P276" s="236"/>
      <c r="Q276" s="243"/>
    </row>
    <row r="277" spans="2:17" x14ac:dyDescent="0.3">
      <c r="B277" s="230" t="s">
        <v>382</v>
      </c>
      <c r="C277" s="230" t="s">
        <v>402</v>
      </c>
      <c r="D277" s="230" t="s">
        <v>94</v>
      </c>
      <c r="G277" s="200">
        <f ca="1">'MATRIZ COMPLETO PROPOSTA'!H277</f>
        <v>2904834.7560877642</v>
      </c>
      <c r="H277" s="200"/>
      <c r="I277" s="200"/>
      <c r="J277" s="200"/>
      <c r="K277" s="200">
        <f t="shared" ca="1" si="13"/>
        <v>2904834.7560877642</v>
      </c>
      <c r="M277" s="200">
        <f>'MATRIZ COMPLETO PROPOSTA'!BD277+
 'MATRIZ COMPLETO PROPOSTA'!BA277+
 'MATRIZ COMPLETO PROPOSTA'!AX277+
 'MATRIZ COMPLETO PROPOSTA'!AS277+
 'MATRIZ COMPLETO PROPOSTA'!AM277</f>
        <v>794168.24571944168</v>
      </c>
      <c r="O277" s="200"/>
      <c r="Q277" s="240"/>
    </row>
    <row r="278" spans="2:17" x14ac:dyDescent="0.3">
      <c r="B278" s="235" t="s">
        <v>382</v>
      </c>
      <c r="C278" s="235" t="s">
        <v>403</v>
      </c>
      <c r="D278" s="235" t="s">
        <v>94</v>
      </c>
      <c r="E278" s="236"/>
      <c r="F278" s="236"/>
      <c r="G278" s="237">
        <f ca="1">'MATRIZ COMPLETO PROPOSTA'!H278</f>
        <v>1549111.5571064269</v>
      </c>
      <c r="H278" s="237"/>
      <c r="I278" s="237"/>
      <c r="J278" s="237"/>
      <c r="K278" s="237">
        <f t="shared" ca="1" si="13"/>
        <v>1549111.5571064269</v>
      </c>
      <c r="L278" s="236"/>
      <c r="M278" s="237">
        <f>'MATRIZ COMPLETO PROPOSTA'!BD278+
 'MATRIZ COMPLETO PROPOSTA'!BA278+
 'MATRIZ COMPLETO PROPOSTA'!AX278+
 'MATRIZ COMPLETO PROPOSTA'!AS278+
 'MATRIZ COMPLETO PROPOSTA'!AM278</f>
        <v>677681.85014711716</v>
      </c>
      <c r="N278" s="236"/>
      <c r="O278" s="237"/>
      <c r="P278" s="236"/>
      <c r="Q278" s="243"/>
    </row>
    <row r="279" spans="2:17" x14ac:dyDescent="0.3">
      <c r="B279" s="230" t="s">
        <v>382</v>
      </c>
      <c r="C279" s="230" t="s">
        <v>404</v>
      </c>
      <c r="D279" s="230" t="s">
        <v>94</v>
      </c>
      <c r="G279" s="200">
        <f ca="1">'MATRIZ COMPLETO PROPOSTA'!H279</f>
        <v>2415910.7998719378</v>
      </c>
      <c r="H279" s="200"/>
      <c r="I279" s="200"/>
      <c r="J279" s="200"/>
      <c r="K279" s="200">
        <f t="shared" ca="1" si="13"/>
        <v>2415910.7998719378</v>
      </c>
      <c r="M279" s="200">
        <f>'MATRIZ COMPLETO PROPOSTA'!BD279+
 'MATRIZ COMPLETO PROPOSTA'!BA279+
 'MATRIZ COMPLETO PROPOSTA'!AX279+
 'MATRIZ COMPLETO PROPOSTA'!AS279+
 'MATRIZ COMPLETO PROPOSTA'!AM279</f>
        <v>799695.973436723</v>
      </c>
      <c r="O279" s="200"/>
      <c r="Q279" s="240"/>
    </row>
    <row r="280" spans="2:17" x14ac:dyDescent="0.3">
      <c r="B280" s="235" t="s">
        <v>382</v>
      </c>
      <c r="C280" s="235" t="s">
        <v>405</v>
      </c>
      <c r="D280" s="235" t="s">
        <v>94</v>
      </c>
      <c r="E280" s="236"/>
      <c r="F280" s="236"/>
      <c r="G280" s="237">
        <f ca="1">'MATRIZ COMPLETO PROPOSTA'!H280</f>
        <v>1667225.4683623263</v>
      </c>
      <c r="H280" s="237"/>
      <c r="I280" s="237"/>
      <c r="J280" s="237"/>
      <c r="K280" s="237">
        <f t="shared" ca="1" si="13"/>
        <v>1667225.4683623263</v>
      </c>
      <c r="L280" s="236"/>
      <c r="M280" s="237">
        <f>'MATRIZ COMPLETO PROPOSTA'!BD280+
 'MATRIZ COMPLETO PROPOSTA'!BA280+
 'MATRIZ COMPLETO PROPOSTA'!AX280+
 'MATRIZ COMPLETO PROPOSTA'!AS280+
 'MATRIZ COMPLETO PROPOSTA'!AM280</f>
        <v>412062.70197369735</v>
      </c>
      <c r="N280" s="236"/>
      <c r="O280" s="237"/>
      <c r="P280" s="236"/>
      <c r="Q280" s="243"/>
    </row>
    <row r="281" spans="2:17" x14ac:dyDescent="0.3">
      <c r="B281" s="230" t="s">
        <v>382</v>
      </c>
      <c r="C281" s="230" t="s">
        <v>406</v>
      </c>
      <c r="D281" s="230" t="s">
        <v>94</v>
      </c>
      <c r="G281" s="200">
        <f ca="1">'MATRIZ COMPLETO PROPOSTA'!H281</f>
        <v>2157344.3519120687</v>
      </c>
      <c r="H281" s="200"/>
      <c r="I281" s="200"/>
      <c r="J281" s="200"/>
      <c r="K281" s="200">
        <f t="shared" ca="1" si="13"/>
        <v>2157344.3519120687</v>
      </c>
      <c r="M281" s="200">
        <f>'MATRIZ COMPLETO PROPOSTA'!BD281+
 'MATRIZ COMPLETO PROPOSTA'!BA281+
 'MATRIZ COMPLETO PROPOSTA'!AX281+
 'MATRIZ COMPLETO PROPOSTA'!AS281+
 'MATRIZ COMPLETO PROPOSTA'!AM281</f>
        <v>706492.36538974778</v>
      </c>
      <c r="O281" s="200"/>
      <c r="Q281" s="240"/>
    </row>
    <row r="282" spans="2:17" x14ac:dyDescent="0.3">
      <c r="B282" s="235" t="s">
        <v>382</v>
      </c>
      <c r="C282" s="235" t="s">
        <v>407</v>
      </c>
      <c r="D282" s="235" t="s">
        <v>94</v>
      </c>
      <c r="E282" s="236"/>
      <c r="F282" s="236"/>
      <c r="G282" s="237">
        <f ca="1">'MATRIZ COMPLETO PROPOSTA'!H282</f>
        <v>3905005.173839441</v>
      </c>
      <c r="H282" s="237"/>
      <c r="I282" s="237"/>
      <c r="J282" s="237"/>
      <c r="K282" s="237">
        <f t="shared" ca="1" si="13"/>
        <v>3905005.173839441</v>
      </c>
      <c r="L282" s="236"/>
      <c r="M282" s="237">
        <f>'MATRIZ COMPLETO PROPOSTA'!BD282+
 'MATRIZ COMPLETO PROPOSTA'!BA282+
 'MATRIZ COMPLETO PROPOSTA'!AX282+
 'MATRIZ COMPLETO PROPOSTA'!AS282+
 'MATRIZ COMPLETO PROPOSTA'!AM282</f>
        <v>1644812.2838222086</v>
      </c>
      <c r="N282" s="236"/>
      <c r="O282" s="237"/>
      <c r="P282" s="236"/>
      <c r="Q282" s="243"/>
    </row>
    <row r="283" spans="2:17" x14ac:dyDescent="0.3">
      <c r="B283" s="230" t="s">
        <v>382</v>
      </c>
      <c r="C283" s="230" t="s">
        <v>408</v>
      </c>
      <c r="D283" s="230" t="s">
        <v>94</v>
      </c>
      <c r="G283" s="200">
        <f ca="1">'MATRIZ COMPLETO PROPOSTA'!H283</f>
        <v>1033013.1238487058</v>
      </c>
      <c r="H283" s="200"/>
      <c r="I283" s="200"/>
      <c r="J283" s="200"/>
      <c r="K283" s="200">
        <f t="shared" ca="1" si="13"/>
        <v>1033013.1238487058</v>
      </c>
      <c r="M283" s="200">
        <f>'MATRIZ COMPLETO PROPOSTA'!BD283+
 'MATRIZ COMPLETO PROPOSTA'!BA283+
 'MATRIZ COMPLETO PROPOSTA'!AX283+
 'MATRIZ COMPLETO PROPOSTA'!AS283+
 'MATRIZ COMPLETO PROPOSTA'!AM283</f>
        <v>509932.17899621977</v>
      </c>
      <c r="O283" s="200"/>
      <c r="Q283" s="240"/>
    </row>
    <row r="284" spans="2:17" x14ac:dyDescent="0.3">
      <c r="B284" s="235" t="s">
        <v>382</v>
      </c>
      <c r="C284" s="235" t="s">
        <v>409</v>
      </c>
      <c r="D284" s="235" t="s">
        <v>94</v>
      </c>
      <c r="E284" s="236"/>
      <c r="F284" s="236"/>
      <c r="G284" s="237">
        <f ca="1">'MATRIZ COMPLETO PROPOSTA'!H284</f>
        <v>1356864.6736980039</v>
      </c>
      <c r="H284" s="237"/>
      <c r="I284" s="237"/>
      <c r="J284" s="237"/>
      <c r="K284" s="237">
        <f t="shared" ca="1" si="13"/>
        <v>1356864.6736980039</v>
      </c>
      <c r="L284" s="236"/>
      <c r="M284" s="237">
        <f>'MATRIZ COMPLETO PROPOSTA'!BD284+
 'MATRIZ COMPLETO PROPOSTA'!BA284+
 'MATRIZ COMPLETO PROPOSTA'!AX284+
 'MATRIZ COMPLETO PROPOSTA'!AS284+
 'MATRIZ COMPLETO PROPOSTA'!AM284</f>
        <v>288915.2118896973</v>
      </c>
      <c r="N284" s="236"/>
      <c r="O284" s="237"/>
      <c r="P284" s="236"/>
      <c r="Q284" s="243"/>
    </row>
    <row r="285" spans="2:17" x14ac:dyDescent="0.3">
      <c r="B285" s="230" t="s">
        <v>382</v>
      </c>
      <c r="C285" s="230" t="s">
        <v>410</v>
      </c>
      <c r="D285" s="230" t="s">
        <v>94</v>
      </c>
      <c r="G285" s="200">
        <f ca="1">'MATRIZ COMPLETO PROPOSTA'!H285</f>
        <v>1936850.0338893791</v>
      </c>
      <c r="H285" s="200"/>
      <c r="I285" s="200"/>
      <c r="J285" s="200"/>
      <c r="K285" s="200">
        <f t="shared" ca="1" si="13"/>
        <v>1936850.0338893791</v>
      </c>
      <c r="M285" s="200">
        <f>'MATRIZ COMPLETO PROPOSTA'!BD285+
 'MATRIZ COMPLETO PROPOSTA'!BA285+
 'MATRIZ COMPLETO PROPOSTA'!AX285+
 'MATRIZ COMPLETO PROPOSTA'!AS285+
 'MATRIZ COMPLETO PROPOSTA'!AM285</f>
        <v>477912.76995083084</v>
      </c>
      <c r="O285" s="200"/>
      <c r="Q285" s="240"/>
    </row>
    <row r="286" spans="2:17" x14ac:dyDescent="0.3">
      <c r="B286" s="235" t="s">
        <v>382</v>
      </c>
      <c r="C286" s="235" t="s">
        <v>411</v>
      </c>
      <c r="D286" s="235" t="s">
        <v>92</v>
      </c>
      <c r="E286" s="236"/>
      <c r="F286" s="236"/>
      <c r="G286" s="237">
        <f ca="1">'MATRIZ COMPLETO PROPOSTA'!H286</f>
        <v>3931837.631976916</v>
      </c>
      <c r="H286" s="237"/>
      <c r="I286" s="237"/>
      <c r="J286" s="237"/>
      <c r="K286" s="237">
        <f t="shared" ca="1" si="13"/>
        <v>3931837.631976916</v>
      </c>
      <c r="L286" s="236"/>
      <c r="M286" s="237">
        <f>'MATRIZ COMPLETO PROPOSTA'!BD286+
 'MATRIZ COMPLETO PROPOSTA'!BA286+
 'MATRIZ COMPLETO PROPOSTA'!AX286+
 'MATRIZ COMPLETO PROPOSTA'!AS286+
 'MATRIZ COMPLETO PROPOSTA'!AM286</f>
        <v>2167384.9533153679</v>
      </c>
      <c r="N286" s="236"/>
      <c r="O286" s="237"/>
      <c r="P286" s="236"/>
      <c r="Q286" s="243"/>
    </row>
    <row r="287" spans="2:17" x14ac:dyDescent="0.3">
      <c r="G287" s="200"/>
      <c r="H287" s="200"/>
      <c r="I287" s="200"/>
      <c r="J287" s="200"/>
      <c r="K287" s="200"/>
      <c r="M287" s="200"/>
      <c r="O287" s="200"/>
      <c r="Q287" s="240"/>
    </row>
    <row r="288" spans="2:17" x14ac:dyDescent="0.3">
      <c r="B288" s="231" t="s">
        <v>382</v>
      </c>
      <c r="C288" s="231" t="s">
        <v>412</v>
      </c>
      <c r="D288" s="232" t="s">
        <v>154</v>
      </c>
      <c r="E288" s="232"/>
      <c r="F288" s="232"/>
      <c r="G288" s="238">
        <f ca="1">SUM(G289:G302)</f>
        <v>30388092.51282369</v>
      </c>
      <c r="H288" s="238">
        <f>'MATRIZ COMPLETO PROPOSTA'!Y288</f>
        <v>1161803.7259559794</v>
      </c>
      <c r="I288" s="238">
        <f>'MATRIZ COMPLETO PROPOSTA'!AA288</f>
        <v>1316563.6739573753</v>
      </c>
      <c r="J288" s="238">
        <f>'MATRIZ COMPLETO PROPOSTA'!AC288</f>
        <v>1587690.1741694876</v>
      </c>
      <c r="K288" s="238">
        <f ca="1">SUM(G288:J288)</f>
        <v>34454150.08690653</v>
      </c>
      <c r="L288" s="232"/>
      <c r="M288" s="238">
        <f>SUM(M289:M302)</f>
        <v>9400849.0172377601</v>
      </c>
      <c r="N288" s="232"/>
      <c r="O288" s="238">
        <f ca="1">K288*'DADOS BASE'!$I$22</f>
        <v>51681.225130359795</v>
      </c>
      <c r="P288" s="232"/>
      <c r="Q288" s="241">
        <f ca="1">SUM(H288:J288)/K288</f>
        <v>0.11801357931705445</v>
      </c>
    </row>
    <row r="289" spans="2:17" x14ac:dyDescent="0.3">
      <c r="B289" s="233" t="s">
        <v>382</v>
      </c>
      <c r="C289" s="234" t="s">
        <v>156</v>
      </c>
      <c r="D289" s="234" t="s">
        <v>157</v>
      </c>
      <c r="E289" s="234"/>
      <c r="F289" s="234"/>
      <c r="G289" s="239">
        <f>('MATRIZ COMPLETO PROPOSTA'!L288+
  'MATRIZ COMPLETO PROPOSTA'!P288*0.25+
  'MATRIZ COMPLETO PROPOSTA'!S288*0.8)
 /
 ('MATRIZ COMPLETO PROPOSTA'!L11+
  'MATRIZ COMPLETO PROPOSTA'!P11*0.25+
  'MATRIZ COMPLETO PROPOSTA'!S11*0.8)
 *
 'DADOS BASE'!$J$93</f>
        <v>3376454.7236470771</v>
      </c>
      <c r="H289" s="239"/>
      <c r="I289" s="239"/>
      <c r="J289" s="239"/>
      <c r="K289" s="239">
        <f t="shared" ref="K289:K302" si="14">J289+I289+H289+G289</f>
        <v>3376454.7236470771</v>
      </c>
      <c r="L289" s="234"/>
      <c r="M289" s="239">
        <f>'MATRIZ COMPLETO PROPOSTA'!BD289+
 'MATRIZ COMPLETO PROPOSTA'!BA289+
 'MATRIZ COMPLETO PROPOSTA'!AX289+
 'MATRIZ COMPLETO PROPOSTA'!AS289+
 'MATRIZ COMPLETO PROPOSTA'!AM289</f>
        <v>0</v>
      </c>
      <c r="N289" s="234"/>
      <c r="O289" s="239"/>
      <c r="P289" s="234"/>
      <c r="Q289" s="242"/>
    </row>
    <row r="290" spans="2:17" x14ac:dyDescent="0.3">
      <c r="B290" s="235" t="s">
        <v>382</v>
      </c>
      <c r="C290" s="235" t="s">
        <v>413</v>
      </c>
      <c r="D290" s="235" t="s">
        <v>92</v>
      </c>
      <c r="E290" s="236"/>
      <c r="F290" s="236"/>
      <c r="G290" s="237">
        <f ca="1">'MATRIZ COMPLETO PROPOSTA'!H290</f>
        <v>1975059.3280207356</v>
      </c>
      <c r="H290" s="237"/>
      <c r="I290" s="237"/>
      <c r="J290" s="237"/>
      <c r="K290" s="237">
        <f t="shared" ca="1" si="14"/>
        <v>1975059.3280207356</v>
      </c>
      <c r="L290" s="236"/>
      <c r="M290" s="237">
        <f>'MATRIZ COMPLETO PROPOSTA'!BD290+
 'MATRIZ COMPLETO PROPOSTA'!BA290+
 'MATRIZ COMPLETO PROPOSTA'!AX290+
 'MATRIZ COMPLETO PROPOSTA'!AS290+
 'MATRIZ COMPLETO PROPOSTA'!AM290</f>
        <v>791886.3451818513</v>
      </c>
      <c r="N290" s="236"/>
      <c r="O290" s="237"/>
      <c r="P290" s="236"/>
      <c r="Q290" s="243"/>
    </row>
    <row r="291" spans="2:17" x14ac:dyDescent="0.3">
      <c r="B291" s="230" t="s">
        <v>382</v>
      </c>
      <c r="C291" s="230" t="s">
        <v>414</v>
      </c>
      <c r="D291" s="230" t="s">
        <v>94</v>
      </c>
      <c r="G291" s="200">
        <f ca="1">'MATRIZ COMPLETO PROPOSTA'!H291</f>
        <v>2075771.0367007111</v>
      </c>
      <c r="H291" s="200"/>
      <c r="I291" s="200"/>
      <c r="J291" s="200"/>
      <c r="K291" s="200">
        <f t="shared" ca="1" si="14"/>
        <v>2075771.0367007111</v>
      </c>
      <c r="M291" s="200">
        <f>'MATRIZ COMPLETO PROPOSTA'!BD291+
 'MATRIZ COMPLETO PROPOSTA'!BA291+
 'MATRIZ COMPLETO PROPOSTA'!AX291+
 'MATRIZ COMPLETO PROPOSTA'!AS291+
 'MATRIZ COMPLETO PROPOSTA'!AM291</f>
        <v>739786.44971061288</v>
      </c>
      <c r="O291" s="200"/>
      <c r="Q291" s="240"/>
    </row>
    <row r="292" spans="2:17" x14ac:dyDescent="0.3">
      <c r="B292" s="235" t="s">
        <v>382</v>
      </c>
      <c r="C292" s="235" t="s">
        <v>415</v>
      </c>
      <c r="D292" s="235" t="s">
        <v>92</v>
      </c>
      <c r="E292" s="236"/>
      <c r="F292" s="236"/>
      <c r="G292" s="237">
        <f ca="1">'MATRIZ COMPLETO PROPOSTA'!H292</f>
        <v>2100093.2731810203</v>
      </c>
      <c r="H292" s="237"/>
      <c r="I292" s="237"/>
      <c r="J292" s="237"/>
      <c r="K292" s="237">
        <f t="shared" ca="1" si="14"/>
        <v>2100093.2731810203</v>
      </c>
      <c r="L292" s="236"/>
      <c r="M292" s="237">
        <f>'MATRIZ COMPLETO PROPOSTA'!BD292+
 'MATRIZ COMPLETO PROPOSTA'!BA292+
 'MATRIZ COMPLETO PROPOSTA'!AX292+
 'MATRIZ COMPLETO PROPOSTA'!AS292+
 'MATRIZ COMPLETO PROPOSTA'!AM292</f>
        <v>928864.43196334224</v>
      </c>
      <c r="N292" s="236"/>
      <c r="O292" s="237"/>
      <c r="P292" s="236"/>
      <c r="Q292" s="243"/>
    </row>
    <row r="293" spans="2:17" x14ac:dyDescent="0.3">
      <c r="B293" s="230" t="s">
        <v>382</v>
      </c>
      <c r="C293" s="230" t="s">
        <v>416</v>
      </c>
      <c r="D293" s="230" t="s">
        <v>98</v>
      </c>
      <c r="G293" s="200">
        <f ca="1">'MATRIZ COMPLETO PROPOSTA'!H293</f>
        <v>447454.2752375112</v>
      </c>
      <c r="H293" s="200"/>
      <c r="I293" s="200"/>
      <c r="J293" s="200"/>
      <c r="K293" s="200">
        <f t="shared" ca="1" si="14"/>
        <v>447454.2752375112</v>
      </c>
      <c r="M293" s="200">
        <f>'MATRIZ COMPLETO PROPOSTA'!BD293+
 'MATRIZ COMPLETO PROPOSTA'!BA293+
 'MATRIZ COMPLETO PROPOSTA'!AX293+
 'MATRIZ COMPLETO PROPOSTA'!AS293+
 'MATRIZ COMPLETO PROPOSTA'!AM293</f>
        <v>244259.98004304324</v>
      </c>
      <c r="O293" s="200"/>
      <c r="Q293" s="240"/>
    </row>
    <row r="294" spans="2:17" x14ac:dyDescent="0.3">
      <c r="B294" s="235" t="s">
        <v>382</v>
      </c>
      <c r="C294" s="235" t="s">
        <v>417</v>
      </c>
      <c r="D294" s="235" t="s">
        <v>98</v>
      </c>
      <c r="E294" s="236"/>
      <c r="F294" s="236"/>
      <c r="G294" s="237">
        <f ca="1">'MATRIZ COMPLETO PROPOSTA'!H294</f>
        <v>1242092.9493552828</v>
      </c>
      <c r="H294" s="237"/>
      <c r="I294" s="237"/>
      <c r="J294" s="237"/>
      <c r="K294" s="237">
        <f t="shared" ca="1" si="14"/>
        <v>1242092.9493552828</v>
      </c>
      <c r="L294" s="236"/>
      <c r="M294" s="237">
        <f>'MATRIZ COMPLETO PROPOSTA'!BD294+
 'MATRIZ COMPLETO PROPOSTA'!BA294+
 'MATRIZ COMPLETO PROPOSTA'!AX294+
 'MATRIZ COMPLETO PROPOSTA'!AS294+
 'MATRIZ COMPLETO PROPOSTA'!AM294</f>
        <v>329474.73968004604</v>
      </c>
      <c r="N294" s="236"/>
      <c r="O294" s="237"/>
      <c r="P294" s="236"/>
      <c r="Q294" s="243"/>
    </row>
    <row r="295" spans="2:17" x14ac:dyDescent="0.3">
      <c r="B295" s="230" t="s">
        <v>382</v>
      </c>
      <c r="C295" s="230" t="s">
        <v>418</v>
      </c>
      <c r="D295" s="230" t="s">
        <v>94</v>
      </c>
      <c r="G295" s="200">
        <f ca="1">'MATRIZ COMPLETO PROPOSTA'!H295</f>
        <v>2214441.1769006788</v>
      </c>
      <c r="H295" s="200"/>
      <c r="I295" s="200"/>
      <c r="J295" s="200"/>
      <c r="K295" s="200">
        <f t="shared" ca="1" si="14"/>
        <v>2214441.1769006788</v>
      </c>
      <c r="M295" s="200">
        <f>'MATRIZ COMPLETO PROPOSTA'!BD295+
 'MATRIZ COMPLETO PROPOSTA'!BA295+
 'MATRIZ COMPLETO PROPOSTA'!AX295+
 'MATRIZ COMPLETO PROPOSTA'!AS295+
 'MATRIZ COMPLETO PROPOSTA'!AM295</f>
        <v>437901.19745414151</v>
      </c>
      <c r="O295" s="200"/>
      <c r="Q295" s="240"/>
    </row>
    <row r="296" spans="2:17" x14ac:dyDescent="0.3">
      <c r="B296" s="235" t="s">
        <v>382</v>
      </c>
      <c r="C296" s="235" t="s">
        <v>419</v>
      </c>
      <c r="D296" s="235" t="s">
        <v>92</v>
      </c>
      <c r="E296" s="236"/>
      <c r="F296" s="236"/>
      <c r="G296" s="237">
        <f ca="1">'MATRIZ COMPLETO PROPOSTA'!H296</f>
        <v>5293198.5666028978</v>
      </c>
      <c r="H296" s="237"/>
      <c r="I296" s="237"/>
      <c r="J296" s="237"/>
      <c r="K296" s="237">
        <f t="shared" ca="1" si="14"/>
        <v>5293198.5666028978</v>
      </c>
      <c r="L296" s="236"/>
      <c r="M296" s="237">
        <f>'MATRIZ COMPLETO PROPOSTA'!BD296+
 'MATRIZ COMPLETO PROPOSTA'!BA296+
 'MATRIZ COMPLETO PROPOSTA'!AX296+
 'MATRIZ COMPLETO PROPOSTA'!AS296+
 'MATRIZ COMPLETO PROPOSTA'!AM296</f>
        <v>2297426.6567818187</v>
      </c>
      <c r="N296" s="236"/>
      <c r="O296" s="237"/>
      <c r="P296" s="236"/>
      <c r="Q296" s="243"/>
    </row>
    <row r="297" spans="2:17" x14ac:dyDescent="0.3">
      <c r="B297" s="230" t="s">
        <v>382</v>
      </c>
      <c r="C297" s="230" t="s">
        <v>420</v>
      </c>
      <c r="D297" s="230" t="s">
        <v>94</v>
      </c>
      <c r="G297" s="200">
        <f ca="1">'MATRIZ COMPLETO PROPOSTA'!H297</f>
        <v>2060151.177168359</v>
      </c>
      <c r="H297" s="200"/>
      <c r="I297" s="200"/>
      <c r="J297" s="200"/>
      <c r="K297" s="200">
        <f t="shared" ca="1" si="14"/>
        <v>2060151.177168359</v>
      </c>
      <c r="M297" s="200">
        <f>'MATRIZ COMPLETO PROPOSTA'!BD297+
 'MATRIZ COMPLETO PROPOSTA'!BA297+
 'MATRIZ COMPLETO PROPOSTA'!AX297+
 'MATRIZ COMPLETO PROPOSTA'!AS297+
 'MATRIZ COMPLETO PROPOSTA'!AM297</f>
        <v>662617.88528912119</v>
      </c>
      <c r="O297" s="200"/>
      <c r="Q297" s="240"/>
    </row>
    <row r="298" spans="2:17" x14ac:dyDescent="0.3">
      <c r="B298" s="235" t="s">
        <v>382</v>
      </c>
      <c r="C298" s="235" t="s">
        <v>421</v>
      </c>
      <c r="D298" s="235" t="s">
        <v>94</v>
      </c>
      <c r="E298" s="236"/>
      <c r="F298" s="236"/>
      <c r="G298" s="237">
        <f ca="1">'MATRIZ COMPLETO PROPOSTA'!H298</f>
        <v>2500444.7490553139</v>
      </c>
      <c r="H298" s="237"/>
      <c r="I298" s="237"/>
      <c r="J298" s="237"/>
      <c r="K298" s="237">
        <f t="shared" ca="1" si="14"/>
        <v>2500444.7490553139</v>
      </c>
      <c r="L298" s="236"/>
      <c r="M298" s="237">
        <f>'MATRIZ COMPLETO PROPOSTA'!BD298+
 'MATRIZ COMPLETO PROPOSTA'!BA298+
 'MATRIZ COMPLETO PROPOSTA'!AX298+
 'MATRIZ COMPLETO PROPOSTA'!AS298+
 'MATRIZ COMPLETO PROPOSTA'!AM298</f>
        <v>812634.19144827593</v>
      </c>
      <c r="N298" s="236"/>
      <c r="O298" s="237"/>
      <c r="P298" s="236"/>
      <c r="Q298" s="243"/>
    </row>
    <row r="299" spans="2:17" x14ac:dyDescent="0.3">
      <c r="B299" s="230" t="s">
        <v>382</v>
      </c>
      <c r="C299" s="230" t="s">
        <v>422</v>
      </c>
      <c r="D299" s="230" t="s">
        <v>92</v>
      </c>
      <c r="G299" s="200">
        <f ca="1">'MATRIZ COMPLETO PROPOSTA'!H299</f>
        <v>4628476.7946134694</v>
      </c>
      <c r="H299" s="200"/>
      <c r="I299" s="200"/>
      <c r="J299" s="200"/>
      <c r="K299" s="200">
        <f t="shared" ca="1" si="14"/>
        <v>4628476.7946134694</v>
      </c>
      <c r="M299" s="200">
        <f>'MATRIZ COMPLETO PROPOSTA'!BD299+
 'MATRIZ COMPLETO PROPOSTA'!BA299+
 'MATRIZ COMPLETO PROPOSTA'!AX299+
 'MATRIZ COMPLETO PROPOSTA'!AS299+
 'MATRIZ COMPLETO PROPOSTA'!AM299</f>
        <v>1785495.5350946332</v>
      </c>
      <c r="O299" s="200"/>
      <c r="Q299" s="240"/>
    </row>
    <row r="300" spans="2:17" x14ac:dyDescent="0.3">
      <c r="B300" s="235" t="s">
        <v>382</v>
      </c>
      <c r="C300" s="235" t="s">
        <v>423</v>
      </c>
      <c r="D300" s="235" t="s">
        <v>94</v>
      </c>
      <c r="E300" s="236"/>
      <c r="F300" s="236"/>
      <c r="G300" s="237">
        <f ca="1">'MATRIZ COMPLETO PROPOSTA'!H300</f>
        <v>1417287.5787420841</v>
      </c>
      <c r="H300" s="237"/>
      <c r="I300" s="237"/>
      <c r="J300" s="237"/>
      <c r="K300" s="237">
        <f t="shared" ca="1" si="14"/>
        <v>1417287.5787420841</v>
      </c>
      <c r="L300" s="236"/>
      <c r="M300" s="237">
        <f>'MATRIZ COMPLETO PROPOSTA'!BD300+
 'MATRIZ COMPLETO PROPOSTA'!BA300+
 'MATRIZ COMPLETO PROPOSTA'!AX300+
 'MATRIZ COMPLETO PROPOSTA'!AS300+
 'MATRIZ COMPLETO PROPOSTA'!AM300</f>
        <v>351876.88376336655</v>
      </c>
      <c r="N300" s="236"/>
      <c r="O300" s="237"/>
      <c r="P300" s="236"/>
      <c r="Q300" s="243"/>
    </row>
    <row r="301" spans="2:17" x14ac:dyDescent="0.3">
      <c r="B301" s="230" t="s">
        <v>382</v>
      </c>
      <c r="C301" s="230" t="s">
        <v>424</v>
      </c>
      <c r="D301" s="230" t="s">
        <v>209</v>
      </c>
      <c r="G301" s="200">
        <f ca="1">'MATRIZ COMPLETO PROPOSTA'!H301</f>
        <v>103795.92963737059</v>
      </c>
      <c r="H301" s="200"/>
      <c r="I301" s="200"/>
      <c r="J301" s="200"/>
      <c r="K301" s="200">
        <f t="shared" ca="1" si="14"/>
        <v>103795.92963737059</v>
      </c>
      <c r="M301" s="200">
        <f>'MATRIZ COMPLETO PROPOSTA'!BD301+
 'MATRIZ COMPLETO PROPOSTA'!BA301+
 'MATRIZ COMPLETO PROPOSTA'!AX301+
 'MATRIZ COMPLETO PROPOSTA'!AS301+
 'MATRIZ COMPLETO PROPOSTA'!AM301</f>
        <v>14332.68343831964</v>
      </c>
      <c r="O301" s="200"/>
      <c r="Q301" s="240"/>
    </row>
    <row r="302" spans="2:17" x14ac:dyDescent="0.3">
      <c r="B302" s="235" t="s">
        <v>382</v>
      </c>
      <c r="C302" s="235" t="s">
        <v>425</v>
      </c>
      <c r="D302" s="235" t="s">
        <v>209</v>
      </c>
      <c r="E302" s="236"/>
      <c r="F302" s="236"/>
      <c r="G302" s="237">
        <f ca="1">'MATRIZ COMPLETO PROPOSTA'!H302</f>
        <v>953370.95396117819</v>
      </c>
      <c r="H302" s="237"/>
      <c r="I302" s="237"/>
      <c r="J302" s="237"/>
      <c r="K302" s="237">
        <f t="shared" ca="1" si="14"/>
        <v>953370.95396117819</v>
      </c>
      <c r="L302" s="236"/>
      <c r="M302" s="237">
        <f>'MATRIZ COMPLETO PROPOSTA'!BD302+
 'MATRIZ COMPLETO PROPOSTA'!BA302+
 'MATRIZ COMPLETO PROPOSTA'!AX302+
 'MATRIZ COMPLETO PROPOSTA'!AS302+
 'MATRIZ COMPLETO PROPOSTA'!AM302</f>
        <v>4292.0373891870913</v>
      </c>
      <c r="N302" s="236"/>
      <c r="O302" s="237"/>
      <c r="P302" s="236"/>
      <c r="Q302" s="243"/>
    </row>
    <row r="303" spans="2:17" x14ac:dyDescent="0.3">
      <c r="G303" s="200"/>
      <c r="H303" s="200"/>
      <c r="I303" s="200"/>
      <c r="J303" s="200"/>
      <c r="K303" s="200"/>
      <c r="M303" s="200"/>
      <c r="O303" s="200"/>
      <c r="Q303" s="240"/>
    </row>
    <row r="304" spans="2:17" x14ac:dyDescent="0.3">
      <c r="B304" s="231" t="s">
        <v>382</v>
      </c>
      <c r="C304" s="231" t="s">
        <v>426</v>
      </c>
      <c r="D304" s="232" t="s">
        <v>154</v>
      </c>
      <c r="E304" s="232"/>
      <c r="F304" s="232"/>
      <c r="G304" s="238">
        <f ca="1">SUM(G305:G315)</f>
        <v>20383418.849456176</v>
      </c>
      <c r="H304" s="238">
        <f>'MATRIZ COMPLETO PROPOSTA'!Y304</f>
        <v>1695729.3041566566</v>
      </c>
      <c r="I304" s="238">
        <f>'MATRIZ COMPLETO PROPOSTA'!AA304</f>
        <v>1404017.2935108026</v>
      </c>
      <c r="J304" s="238">
        <f>'MATRIZ COMPLETO PROPOSTA'!AC304</f>
        <v>1298727.6315525966</v>
      </c>
      <c r="K304" s="238">
        <f ca="1">SUM(G304:J304)</f>
        <v>24781893.078676231</v>
      </c>
      <c r="L304" s="232"/>
      <c r="M304" s="238">
        <f>SUM(M305:M315)</f>
        <v>7449243.6925469944</v>
      </c>
      <c r="N304" s="232"/>
      <c r="O304" s="238">
        <f ca="1">K304*'DADOS BASE'!$I$22</f>
        <v>37172.839618014346</v>
      </c>
      <c r="P304" s="232"/>
      <c r="Q304" s="241">
        <f ca="1">SUM(H304:J304)/K304</f>
        <v>0.17748741854611408</v>
      </c>
    </row>
    <row r="305" spans="2:17" x14ac:dyDescent="0.3">
      <c r="B305" s="233" t="s">
        <v>382</v>
      </c>
      <c r="C305" s="234" t="s">
        <v>156</v>
      </c>
      <c r="D305" s="234" t="s">
        <v>157</v>
      </c>
      <c r="E305" s="234"/>
      <c r="F305" s="234"/>
      <c r="G305" s="239">
        <f>('MATRIZ COMPLETO PROPOSTA'!L304+
  'MATRIZ COMPLETO PROPOSTA'!P304*0.25+
  'MATRIZ COMPLETO PROPOSTA'!S304*0.8)
 /
 ('MATRIZ COMPLETO PROPOSTA'!L11+
  'MATRIZ COMPLETO PROPOSTA'!P11*0.25+
  'MATRIZ COMPLETO PROPOSTA'!S11*0.8)
 *
 'DADOS BASE'!$J$93</f>
        <v>2264824.3166062422</v>
      </c>
      <c r="H305" s="239"/>
      <c r="I305" s="239"/>
      <c r="J305" s="239"/>
      <c r="K305" s="239">
        <f t="shared" ref="K305:K315" si="15">J305+I305+H305+G305</f>
        <v>2264824.3166062422</v>
      </c>
      <c r="L305" s="234"/>
      <c r="M305" s="239">
        <f>'MATRIZ COMPLETO PROPOSTA'!BD305+
 'MATRIZ COMPLETO PROPOSTA'!BA305+
 'MATRIZ COMPLETO PROPOSTA'!AX305+
 'MATRIZ COMPLETO PROPOSTA'!AS305+
 'MATRIZ COMPLETO PROPOSTA'!AM305</f>
        <v>0</v>
      </c>
      <c r="N305" s="234"/>
      <c r="O305" s="239"/>
      <c r="P305" s="234"/>
      <c r="Q305" s="242"/>
    </row>
    <row r="306" spans="2:17" x14ac:dyDescent="0.3">
      <c r="B306" s="235" t="s">
        <v>382</v>
      </c>
      <c r="C306" s="235" t="s">
        <v>427</v>
      </c>
      <c r="D306" s="235" t="s">
        <v>98</v>
      </c>
      <c r="E306" s="236"/>
      <c r="F306" s="236"/>
      <c r="G306" s="237">
        <f ca="1">'MATRIZ COMPLETO PROPOSTA'!H306</f>
        <v>192855.02228953346</v>
      </c>
      <c r="H306" s="237"/>
      <c r="I306" s="237"/>
      <c r="J306" s="237"/>
      <c r="K306" s="237">
        <f t="shared" ca="1" si="15"/>
        <v>192855.02228953346</v>
      </c>
      <c r="L306" s="236"/>
      <c r="M306" s="237">
        <f>'MATRIZ COMPLETO PROPOSTA'!BD306+
 'MATRIZ COMPLETO PROPOSTA'!BA306+
 'MATRIZ COMPLETO PROPOSTA'!AX306+
 'MATRIZ COMPLETO PROPOSTA'!AS306+
 'MATRIZ COMPLETO PROPOSTA'!AM306</f>
        <v>139529.73020248688</v>
      </c>
      <c r="N306" s="236"/>
      <c r="O306" s="237"/>
      <c r="P306" s="236"/>
      <c r="Q306" s="243"/>
    </row>
    <row r="307" spans="2:17" x14ac:dyDescent="0.3">
      <c r="B307" s="230" t="s">
        <v>382</v>
      </c>
      <c r="C307" s="230" t="s">
        <v>428</v>
      </c>
      <c r="D307" s="230" t="s">
        <v>98</v>
      </c>
      <c r="G307" s="200">
        <f ca="1">'MATRIZ COMPLETO PROPOSTA'!H307</f>
        <v>159300.848249081</v>
      </c>
      <c r="H307" s="200"/>
      <c r="I307" s="200"/>
      <c r="J307" s="200"/>
      <c r="K307" s="200">
        <f t="shared" ca="1" si="15"/>
        <v>159300.848249081</v>
      </c>
      <c r="M307" s="200">
        <f>'MATRIZ COMPLETO PROPOSTA'!BD307+
 'MATRIZ COMPLETO PROPOSTA'!BA307+
 'MATRIZ COMPLETO PROPOSTA'!AX307+
 'MATRIZ COMPLETO PROPOSTA'!AS307+
 'MATRIZ COMPLETO PROPOSTA'!AM307</f>
        <v>108053.90075983267</v>
      </c>
      <c r="O307" s="200"/>
      <c r="Q307" s="240"/>
    </row>
    <row r="308" spans="2:17" x14ac:dyDescent="0.3">
      <c r="B308" s="235" t="s">
        <v>382</v>
      </c>
      <c r="C308" s="235" t="s">
        <v>429</v>
      </c>
      <c r="D308" s="235" t="s">
        <v>98</v>
      </c>
      <c r="E308" s="236"/>
      <c r="F308" s="236"/>
      <c r="G308" s="237">
        <f ca="1">'MATRIZ COMPLETO PROPOSTA'!H308</f>
        <v>72801.497157038029</v>
      </c>
      <c r="H308" s="237"/>
      <c r="I308" s="237"/>
      <c r="J308" s="237"/>
      <c r="K308" s="237">
        <f t="shared" ca="1" si="15"/>
        <v>72801.497157038029</v>
      </c>
      <c r="L308" s="236"/>
      <c r="M308" s="237">
        <f>'MATRIZ COMPLETO PROPOSTA'!BD308+
 'MATRIZ COMPLETO PROPOSTA'!BA308+
 'MATRIZ COMPLETO PROPOSTA'!AX308+
 'MATRIZ COMPLETO PROPOSTA'!AS308+
 'MATRIZ COMPLETO PROPOSTA'!AM308</f>
        <v>58743.527567714613</v>
      </c>
      <c r="N308" s="236"/>
      <c r="O308" s="237"/>
      <c r="P308" s="236"/>
      <c r="Q308" s="243"/>
    </row>
    <row r="309" spans="2:17" x14ac:dyDescent="0.3">
      <c r="B309" s="230" t="s">
        <v>382</v>
      </c>
      <c r="C309" s="230" t="s">
        <v>430</v>
      </c>
      <c r="D309" s="230" t="s">
        <v>92</v>
      </c>
      <c r="G309" s="200">
        <f ca="1">'MATRIZ COMPLETO PROPOSTA'!H309</f>
        <v>4913189.160838916</v>
      </c>
      <c r="H309" s="200"/>
      <c r="I309" s="200"/>
      <c r="J309" s="200"/>
      <c r="K309" s="200">
        <f t="shared" ca="1" si="15"/>
        <v>4913189.160838916</v>
      </c>
      <c r="M309" s="200">
        <f>'MATRIZ COMPLETO PROPOSTA'!BD309+
 'MATRIZ COMPLETO PROPOSTA'!BA309+
 'MATRIZ COMPLETO PROPOSTA'!AX309+
 'MATRIZ COMPLETO PROPOSTA'!AS309+
 'MATRIZ COMPLETO PROPOSTA'!AM309</f>
        <v>1669956.3382983585</v>
      </c>
      <c r="O309" s="200"/>
      <c r="Q309" s="240"/>
    </row>
    <row r="310" spans="2:17" x14ac:dyDescent="0.3">
      <c r="B310" s="235" t="s">
        <v>382</v>
      </c>
      <c r="C310" s="235" t="s">
        <v>431</v>
      </c>
      <c r="D310" s="235" t="s">
        <v>94</v>
      </c>
      <c r="E310" s="236"/>
      <c r="F310" s="236"/>
      <c r="G310" s="237">
        <f ca="1">'MATRIZ COMPLETO PROPOSTA'!H310</f>
        <v>3655692.1359173986</v>
      </c>
      <c r="H310" s="237"/>
      <c r="I310" s="237"/>
      <c r="J310" s="237"/>
      <c r="K310" s="237">
        <f t="shared" ca="1" si="15"/>
        <v>3655692.1359173986</v>
      </c>
      <c r="L310" s="236"/>
      <c r="M310" s="237">
        <f>'MATRIZ COMPLETO PROPOSTA'!BD310+
 'MATRIZ COMPLETO PROPOSTA'!BA310+
 'MATRIZ COMPLETO PROPOSTA'!AX310+
 'MATRIZ COMPLETO PROPOSTA'!AS310+
 'MATRIZ COMPLETO PROPOSTA'!AM310</f>
        <v>1280562.3919283478</v>
      </c>
      <c r="N310" s="236"/>
      <c r="O310" s="237"/>
      <c r="P310" s="236"/>
      <c r="Q310" s="243"/>
    </row>
    <row r="311" spans="2:17" x14ac:dyDescent="0.3">
      <c r="B311" s="230" t="s">
        <v>382</v>
      </c>
      <c r="C311" s="230" t="s">
        <v>432</v>
      </c>
      <c r="D311" s="230" t="s">
        <v>94</v>
      </c>
      <c r="G311" s="200">
        <f ca="1">'MATRIZ COMPLETO PROPOSTA'!H311</f>
        <v>244778.1163019767</v>
      </c>
      <c r="H311" s="200"/>
      <c r="I311" s="200"/>
      <c r="J311" s="200"/>
      <c r="K311" s="200">
        <f t="shared" ca="1" si="15"/>
        <v>244778.1163019767</v>
      </c>
      <c r="M311" s="200">
        <f>'MATRIZ COMPLETO PROPOSTA'!BD311+
 'MATRIZ COMPLETO PROPOSTA'!BA311+
 'MATRIZ COMPLETO PROPOSTA'!AX311+
 'MATRIZ COMPLETO PROPOSTA'!AS311+
 'MATRIZ COMPLETO PROPOSTA'!AM311</f>
        <v>77872.780555830919</v>
      </c>
      <c r="O311" s="200"/>
      <c r="Q311" s="240"/>
    </row>
    <row r="312" spans="2:17" x14ac:dyDescent="0.3">
      <c r="B312" s="235" t="s">
        <v>382</v>
      </c>
      <c r="C312" s="235" t="s">
        <v>433</v>
      </c>
      <c r="D312" s="235" t="s">
        <v>94</v>
      </c>
      <c r="E312" s="236"/>
      <c r="F312" s="236"/>
      <c r="G312" s="237">
        <f ca="1">'MATRIZ COMPLETO PROPOSTA'!H312</f>
        <v>2200051.4907315113</v>
      </c>
      <c r="H312" s="237"/>
      <c r="I312" s="237"/>
      <c r="J312" s="237"/>
      <c r="K312" s="237">
        <f t="shared" ca="1" si="15"/>
        <v>2200051.4907315113</v>
      </c>
      <c r="L312" s="236"/>
      <c r="M312" s="237">
        <f>'MATRIZ COMPLETO PROPOSTA'!BD312+
 'MATRIZ COMPLETO PROPOSTA'!BA312+
 'MATRIZ COMPLETO PROPOSTA'!AX312+
 'MATRIZ COMPLETO PROPOSTA'!AS312+
 'MATRIZ COMPLETO PROPOSTA'!AM312</f>
        <v>711916.61614028714</v>
      </c>
      <c r="N312" s="236"/>
      <c r="O312" s="237"/>
      <c r="P312" s="236"/>
      <c r="Q312" s="243"/>
    </row>
    <row r="313" spans="2:17" x14ac:dyDescent="0.3">
      <c r="B313" s="230" t="s">
        <v>382</v>
      </c>
      <c r="C313" s="230" t="s">
        <v>434</v>
      </c>
      <c r="D313" s="230" t="s">
        <v>92</v>
      </c>
      <c r="G313" s="200">
        <f ca="1">'MATRIZ COMPLETO PROPOSTA'!H313</f>
        <v>4055515.0605851971</v>
      </c>
      <c r="H313" s="200"/>
      <c r="I313" s="200"/>
      <c r="J313" s="200"/>
      <c r="K313" s="200">
        <f t="shared" ca="1" si="15"/>
        <v>4055515.0605851971</v>
      </c>
      <c r="M313" s="200">
        <f>'MATRIZ COMPLETO PROPOSTA'!BD313+
 'MATRIZ COMPLETO PROPOSTA'!BA313+
 'MATRIZ COMPLETO PROPOSTA'!AX313+
 'MATRIZ COMPLETO PROPOSTA'!AS313+
 'MATRIZ COMPLETO PROPOSTA'!AM313</f>
        <v>2244333.9790897616</v>
      </c>
      <c r="O313" s="200"/>
      <c r="Q313" s="240"/>
    </row>
    <row r="314" spans="2:17" x14ac:dyDescent="0.3">
      <c r="B314" s="235" t="s">
        <v>382</v>
      </c>
      <c r="C314" s="235" t="s">
        <v>435</v>
      </c>
      <c r="D314" s="235" t="s">
        <v>94</v>
      </c>
      <c r="E314" s="236"/>
      <c r="F314" s="236"/>
      <c r="G314" s="237">
        <f ca="1">'MATRIZ COMPLETO PROPOSTA'!H314</f>
        <v>1386909.2548632391</v>
      </c>
      <c r="H314" s="237"/>
      <c r="I314" s="237"/>
      <c r="J314" s="237"/>
      <c r="K314" s="237">
        <f t="shared" ca="1" si="15"/>
        <v>1386909.2548632391</v>
      </c>
      <c r="L314" s="236"/>
      <c r="M314" s="237">
        <f>'MATRIZ COMPLETO PROPOSTA'!BD314+
 'MATRIZ COMPLETO PROPOSTA'!BA314+
 'MATRIZ COMPLETO PROPOSTA'!AX314+
 'MATRIZ COMPLETO PROPOSTA'!AS314+
 'MATRIZ COMPLETO PROPOSTA'!AM314</f>
        <v>515602.20009287563</v>
      </c>
      <c r="N314" s="236"/>
      <c r="O314" s="237"/>
      <c r="P314" s="236"/>
      <c r="Q314" s="243"/>
    </row>
    <row r="315" spans="2:17" x14ac:dyDescent="0.3">
      <c r="B315" s="230" t="s">
        <v>382</v>
      </c>
      <c r="C315" s="230" t="s">
        <v>436</v>
      </c>
      <c r="D315" s="230" t="s">
        <v>94</v>
      </c>
      <c r="G315" s="200">
        <f ca="1">'MATRIZ COMPLETO PROPOSTA'!H315</f>
        <v>1237501.9459160415</v>
      </c>
      <c r="H315" s="200"/>
      <c r="I315" s="200"/>
      <c r="J315" s="200"/>
      <c r="K315" s="200">
        <f t="shared" ca="1" si="15"/>
        <v>1237501.9459160415</v>
      </c>
      <c r="M315" s="200">
        <f>'MATRIZ COMPLETO PROPOSTA'!BD315+
 'MATRIZ COMPLETO PROPOSTA'!BA315+
 'MATRIZ COMPLETO PROPOSTA'!AX315+
 'MATRIZ COMPLETO PROPOSTA'!AS315+
 'MATRIZ COMPLETO PROPOSTA'!AM315</f>
        <v>642672.22791149816</v>
      </c>
      <c r="O315" s="200"/>
      <c r="Q315" s="240"/>
    </row>
    <row r="316" spans="2:17" x14ac:dyDescent="0.3">
      <c r="G316" s="200"/>
      <c r="H316" s="200"/>
      <c r="I316" s="200"/>
      <c r="J316" s="200"/>
      <c r="K316" s="200"/>
      <c r="M316" s="200"/>
      <c r="O316" s="200"/>
      <c r="Q316" s="240"/>
    </row>
    <row r="317" spans="2:17" x14ac:dyDescent="0.3">
      <c r="B317" s="231" t="s">
        <v>382</v>
      </c>
      <c r="C317" s="231" t="s">
        <v>437</v>
      </c>
      <c r="D317" s="232" t="s">
        <v>154</v>
      </c>
      <c r="E317" s="232"/>
      <c r="F317" s="232"/>
      <c r="G317" s="238">
        <f ca="1">SUM(G318:G327)</f>
        <v>40493375.236711018</v>
      </c>
      <c r="H317" s="238">
        <f>'MATRIZ COMPLETO PROPOSTA'!Y317</f>
        <v>1723227.6171970344</v>
      </c>
      <c r="I317" s="238">
        <f>'MATRIZ COMPLETO PROPOSTA'!AA317</f>
        <v>1496230.2937201986</v>
      </c>
      <c r="J317" s="238">
        <f>'MATRIZ COMPLETO PROPOSTA'!AC317</f>
        <v>2014280.2681167424</v>
      </c>
      <c r="K317" s="238">
        <f ca="1">SUM(G317:J317)</f>
        <v>45727113.415744998</v>
      </c>
      <c r="L317" s="232"/>
      <c r="M317" s="238">
        <f>SUM(M318:M327)</f>
        <v>13313444.41251459</v>
      </c>
      <c r="N317" s="232"/>
      <c r="O317" s="238">
        <f ca="1">K317*'DADOS BASE'!$I$22</f>
        <v>68590.670123617499</v>
      </c>
      <c r="P317" s="232"/>
      <c r="Q317" s="241">
        <f ca="1">SUM(H317:J317)/K317</f>
        <v>0.11445590565600555</v>
      </c>
    </row>
    <row r="318" spans="2:17" x14ac:dyDescent="0.3">
      <c r="B318" s="233" t="s">
        <v>382</v>
      </c>
      <c r="C318" s="234" t="s">
        <v>156</v>
      </c>
      <c r="D318" s="234" t="s">
        <v>157</v>
      </c>
      <c r="E318" s="234"/>
      <c r="F318" s="234"/>
      <c r="G318" s="239">
        <f>('MATRIZ COMPLETO PROPOSTA'!L317+
  'MATRIZ COMPLETO PROPOSTA'!P317*0.25+
  'MATRIZ COMPLETO PROPOSTA'!S317*0.8)
 /
 ('MATRIZ COMPLETO PROPOSTA'!L11+
  'MATRIZ COMPLETO PROPOSTA'!P11*0.25+
  'MATRIZ COMPLETO PROPOSTA'!S11*0.8)
 *
 'DADOS BASE'!$J$93</f>
        <v>4499263.9151901128</v>
      </c>
      <c r="H318" s="239"/>
      <c r="I318" s="239"/>
      <c r="J318" s="239"/>
      <c r="K318" s="239">
        <f t="shared" ref="K318:K327" si="16">J318+I318+H318+G318</f>
        <v>4499263.9151901128</v>
      </c>
      <c r="L318" s="234"/>
      <c r="M318" s="239">
        <f>'MATRIZ COMPLETO PROPOSTA'!BD318+
 'MATRIZ COMPLETO PROPOSTA'!BA318+
 'MATRIZ COMPLETO PROPOSTA'!AX318+
 'MATRIZ COMPLETO PROPOSTA'!AS318+
 'MATRIZ COMPLETO PROPOSTA'!AM318</f>
        <v>0</v>
      </c>
      <c r="N318" s="234"/>
      <c r="O318" s="239"/>
      <c r="P318" s="234"/>
      <c r="Q318" s="242"/>
    </row>
    <row r="319" spans="2:17" x14ac:dyDescent="0.3">
      <c r="B319" s="230" t="s">
        <v>382</v>
      </c>
      <c r="C319" s="230" t="s">
        <v>438</v>
      </c>
      <c r="D319" s="230" t="s">
        <v>98</v>
      </c>
      <c r="G319" s="200">
        <f ca="1">'MATRIZ COMPLETO PROPOSTA'!H319</f>
        <v>2389859.9611053523</v>
      </c>
      <c r="H319" s="200"/>
      <c r="I319" s="200"/>
      <c r="J319" s="200"/>
      <c r="K319" s="200">
        <f t="shared" ca="1" si="16"/>
        <v>2389859.9611053523</v>
      </c>
      <c r="M319" s="200">
        <f>'MATRIZ COMPLETO PROPOSTA'!BD319+
 'MATRIZ COMPLETO PROPOSTA'!BA319+
 'MATRIZ COMPLETO PROPOSTA'!AX319+
 'MATRIZ COMPLETO PROPOSTA'!AS319+
 'MATRIZ COMPLETO PROPOSTA'!AM319</f>
        <v>623487.5560954893</v>
      </c>
      <c r="O319" s="200"/>
      <c r="Q319" s="240"/>
    </row>
    <row r="320" spans="2:17" x14ac:dyDescent="0.3">
      <c r="B320" s="235" t="s">
        <v>382</v>
      </c>
      <c r="C320" s="235" t="s">
        <v>439</v>
      </c>
      <c r="D320" s="235" t="s">
        <v>98</v>
      </c>
      <c r="E320" s="236"/>
      <c r="F320" s="236"/>
      <c r="G320" s="237">
        <f ca="1">'MATRIZ COMPLETO PROPOSTA'!H320</f>
        <v>1460667.0683623434</v>
      </c>
      <c r="H320" s="237"/>
      <c r="I320" s="237"/>
      <c r="J320" s="237"/>
      <c r="K320" s="237">
        <f t="shared" ca="1" si="16"/>
        <v>1460667.0683623434</v>
      </c>
      <c r="L320" s="236"/>
      <c r="M320" s="237">
        <f>'MATRIZ COMPLETO PROPOSTA'!BD320+
 'MATRIZ COMPLETO PROPOSTA'!BA320+
 'MATRIZ COMPLETO PROPOSTA'!AX320+
 'MATRIZ COMPLETO PROPOSTA'!AS320+
 'MATRIZ COMPLETO PROPOSTA'!AM320</f>
        <v>427754.48298964574</v>
      </c>
      <c r="N320" s="236"/>
      <c r="O320" s="237"/>
      <c r="P320" s="236"/>
      <c r="Q320" s="243"/>
    </row>
    <row r="321" spans="2:17" x14ac:dyDescent="0.3">
      <c r="B321" s="230" t="s">
        <v>382</v>
      </c>
      <c r="C321" s="230" t="s">
        <v>440</v>
      </c>
      <c r="D321" s="230" t="s">
        <v>92</v>
      </c>
      <c r="G321" s="200">
        <f ca="1">'MATRIZ COMPLETO PROPOSTA'!H321</f>
        <v>5651566.0897834683</v>
      </c>
      <c r="H321" s="200"/>
      <c r="I321" s="200"/>
      <c r="J321" s="200"/>
      <c r="K321" s="200">
        <f t="shared" ca="1" si="16"/>
        <v>5651566.0897834683</v>
      </c>
      <c r="M321" s="200">
        <f>'MATRIZ COMPLETO PROPOSTA'!BD321+
 'MATRIZ COMPLETO PROPOSTA'!BA321+
 'MATRIZ COMPLETO PROPOSTA'!AX321+
 'MATRIZ COMPLETO PROPOSTA'!AS321+
 'MATRIZ COMPLETO PROPOSTA'!AM321</f>
        <v>2836443.6118839821</v>
      </c>
      <c r="O321" s="200"/>
      <c r="Q321" s="240"/>
    </row>
    <row r="322" spans="2:17" x14ac:dyDescent="0.3">
      <c r="B322" s="235" t="s">
        <v>382</v>
      </c>
      <c r="C322" s="235" t="s">
        <v>441</v>
      </c>
      <c r="D322" s="235" t="s">
        <v>92</v>
      </c>
      <c r="E322" s="236"/>
      <c r="F322" s="236"/>
      <c r="G322" s="237">
        <f ca="1">'MATRIZ COMPLETO PROPOSTA'!H322</f>
        <v>6883878.3452362744</v>
      </c>
      <c r="H322" s="237"/>
      <c r="I322" s="237"/>
      <c r="J322" s="237"/>
      <c r="K322" s="237">
        <f t="shared" ca="1" si="16"/>
        <v>6883878.3452362744</v>
      </c>
      <c r="L322" s="236"/>
      <c r="M322" s="237">
        <f>'MATRIZ COMPLETO PROPOSTA'!BD322+
 'MATRIZ COMPLETO PROPOSTA'!BA322+
 'MATRIZ COMPLETO PROPOSTA'!AX322+
 'MATRIZ COMPLETO PROPOSTA'!AS322+
 'MATRIZ COMPLETO PROPOSTA'!AM322</f>
        <v>3186991.98979594</v>
      </c>
      <c r="N322" s="236"/>
      <c r="O322" s="237"/>
      <c r="P322" s="236"/>
      <c r="Q322" s="243"/>
    </row>
    <row r="323" spans="2:17" x14ac:dyDescent="0.3">
      <c r="B323" s="230" t="s">
        <v>382</v>
      </c>
      <c r="C323" s="230" t="s">
        <v>442</v>
      </c>
      <c r="D323" s="230" t="s">
        <v>92</v>
      </c>
      <c r="G323" s="200">
        <f ca="1">'MATRIZ COMPLETO PROPOSTA'!H323</f>
        <v>11668744.149974171</v>
      </c>
      <c r="H323" s="200"/>
      <c r="I323" s="200"/>
      <c r="J323" s="200"/>
      <c r="K323" s="200">
        <f t="shared" ca="1" si="16"/>
        <v>11668744.149974171</v>
      </c>
      <c r="M323" s="200">
        <f>'MATRIZ COMPLETO PROPOSTA'!BD323+
 'MATRIZ COMPLETO PROPOSTA'!BA323+
 'MATRIZ COMPLETO PROPOSTA'!AX323+
 'MATRIZ COMPLETO PROPOSTA'!AS323+
 'MATRIZ COMPLETO PROPOSTA'!AM323</f>
        <v>4045323.8614221052</v>
      </c>
      <c r="O323" s="200"/>
      <c r="Q323" s="240"/>
    </row>
    <row r="324" spans="2:17" x14ac:dyDescent="0.3">
      <c r="B324" s="235" t="s">
        <v>382</v>
      </c>
      <c r="C324" s="235" t="s">
        <v>443</v>
      </c>
      <c r="D324" s="235" t="s">
        <v>94</v>
      </c>
      <c r="E324" s="236"/>
      <c r="F324" s="236"/>
      <c r="G324" s="237">
        <f ca="1">'MATRIZ COMPLETO PROPOSTA'!H324</f>
        <v>2032678.9500742462</v>
      </c>
      <c r="H324" s="237"/>
      <c r="I324" s="237"/>
      <c r="J324" s="237"/>
      <c r="K324" s="237">
        <f t="shared" ca="1" si="16"/>
        <v>2032678.9500742462</v>
      </c>
      <c r="L324" s="236"/>
      <c r="M324" s="237">
        <f>'MATRIZ COMPLETO PROPOSTA'!BD324+
 'MATRIZ COMPLETO PROPOSTA'!BA324+
 'MATRIZ COMPLETO PROPOSTA'!AX324+
 'MATRIZ COMPLETO PROPOSTA'!AS324+
 'MATRIZ COMPLETO PROPOSTA'!AM324</f>
        <v>639557.86187142099</v>
      </c>
      <c r="N324" s="236"/>
      <c r="O324" s="237"/>
      <c r="P324" s="236"/>
      <c r="Q324" s="243"/>
    </row>
    <row r="325" spans="2:17" x14ac:dyDescent="0.3">
      <c r="B325" s="230" t="s">
        <v>382</v>
      </c>
      <c r="C325" s="230" t="s">
        <v>444</v>
      </c>
      <c r="D325" s="230" t="s">
        <v>94</v>
      </c>
      <c r="G325" s="200">
        <f ca="1">'MATRIZ COMPLETO PROPOSTA'!H325</f>
        <v>2287378.2087034956</v>
      </c>
      <c r="H325" s="200"/>
      <c r="I325" s="200"/>
      <c r="J325" s="200"/>
      <c r="K325" s="200">
        <f t="shared" ca="1" si="16"/>
        <v>2287378.2087034956</v>
      </c>
      <c r="M325" s="200">
        <f>'MATRIZ COMPLETO PROPOSTA'!BD325+
 'MATRIZ COMPLETO PROPOSTA'!BA325+
 'MATRIZ COMPLETO PROPOSTA'!AX325+
 'MATRIZ COMPLETO PROPOSTA'!AS325+
 'MATRIZ COMPLETO PROPOSTA'!AM325</f>
        <v>634786.00599819224</v>
      </c>
      <c r="O325" s="200"/>
      <c r="Q325" s="240"/>
    </row>
    <row r="326" spans="2:17" x14ac:dyDescent="0.3">
      <c r="B326" s="235" t="s">
        <v>382</v>
      </c>
      <c r="C326" s="235" t="s">
        <v>445</v>
      </c>
      <c r="D326" s="235" t="s">
        <v>94</v>
      </c>
      <c r="E326" s="236"/>
      <c r="F326" s="236"/>
      <c r="G326" s="237">
        <f ca="1">'MATRIZ COMPLETO PROPOSTA'!H326</f>
        <v>3619338.5482815481</v>
      </c>
      <c r="H326" s="237"/>
      <c r="I326" s="237"/>
      <c r="J326" s="237"/>
      <c r="K326" s="237">
        <f t="shared" ca="1" si="16"/>
        <v>3619338.5482815481</v>
      </c>
      <c r="L326" s="236"/>
      <c r="M326" s="237">
        <f>'MATRIZ COMPLETO PROPOSTA'!BD326+
 'MATRIZ COMPLETO PROPOSTA'!BA326+
 'MATRIZ COMPLETO PROPOSTA'!AX326+
 'MATRIZ COMPLETO PROPOSTA'!AS326+
 'MATRIZ COMPLETO PROPOSTA'!AM326</f>
        <v>919099.04245781421</v>
      </c>
      <c r="N326" s="236"/>
      <c r="O326" s="237"/>
      <c r="P326" s="236"/>
      <c r="Q326" s="243"/>
    </row>
    <row r="327" spans="2:17" x14ac:dyDescent="0.3">
      <c r="B327" s="230" t="s">
        <v>382</v>
      </c>
      <c r="C327" s="230" t="s">
        <v>446</v>
      </c>
      <c r="D327" s="230" t="s">
        <v>209</v>
      </c>
      <c r="G327" s="200">
        <f ca="1">'MATRIZ COMPLETO PROPOSTA'!H327</f>
        <v>0</v>
      </c>
      <c r="H327" s="200"/>
      <c r="I327" s="200"/>
      <c r="J327" s="200"/>
      <c r="K327" s="200">
        <f t="shared" ca="1" si="16"/>
        <v>0</v>
      </c>
      <c r="M327" s="200">
        <f>'MATRIZ COMPLETO PROPOSTA'!BD327+
 'MATRIZ COMPLETO PROPOSTA'!BA327+
 'MATRIZ COMPLETO PROPOSTA'!AX327+
 'MATRIZ COMPLETO PROPOSTA'!AS327+
 'MATRIZ COMPLETO PROPOSTA'!AM327</f>
        <v>0</v>
      </c>
      <c r="O327" s="200"/>
      <c r="Q327" s="240"/>
    </row>
    <row r="328" spans="2:17" x14ac:dyDescent="0.3">
      <c r="G328" s="200"/>
      <c r="H328" s="200"/>
      <c r="I328" s="200"/>
      <c r="J328" s="200"/>
      <c r="K328" s="200"/>
      <c r="M328" s="200"/>
      <c r="O328" s="200"/>
      <c r="Q328" s="240"/>
    </row>
    <row r="329" spans="2:17" x14ac:dyDescent="0.3">
      <c r="B329" s="231" t="s">
        <v>382</v>
      </c>
      <c r="C329" s="231" t="s">
        <v>447</v>
      </c>
      <c r="D329" s="232" t="s">
        <v>154</v>
      </c>
      <c r="E329" s="232"/>
      <c r="F329" s="232"/>
      <c r="G329" s="238">
        <f ca="1">SUM(G330:G339)</f>
        <v>21166558.037160251</v>
      </c>
      <c r="H329" s="238">
        <f>'MATRIZ COMPLETO PROPOSTA'!Y329</f>
        <v>1083891.8390082412</v>
      </c>
      <c r="I329" s="238">
        <f>'MATRIZ COMPLETO PROPOSTA'!AA329</f>
        <v>474986.18946568854</v>
      </c>
      <c r="J329" s="238">
        <f>'MATRIZ COMPLETO PROPOSTA'!AC329</f>
        <v>1491644.6534185593</v>
      </c>
      <c r="K329" s="238">
        <f ca="1">SUM(G329:J329)</f>
        <v>24217080.719052743</v>
      </c>
      <c r="L329" s="232"/>
      <c r="M329" s="238">
        <f>SUM(M330:M339)</f>
        <v>4424548.059779699</v>
      </c>
      <c r="N329" s="232"/>
      <c r="O329" s="238">
        <f ca="1">K329*'DADOS BASE'!$I$22</f>
        <v>36325.621078579119</v>
      </c>
      <c r="P329" s="232"/>
      <c r="Q329" s="241">
        <f ca="1">SUM(H329:J329)/K329</f>
        <v>0.12596574778282404</v>
      </c>
    </row>
    <row r="330" spans="2:17" x14ac:dyDescent="0.3">
      <c r="B330" s="233" t="s">
        <v>382</v>
      </c>
      <c r="C330" s="234" t="s">
        <v>156</v>
      </c>
      <c r="D330" s="234" t="s">
        <v>157</v>
      </c>
      <c r="E330" s="234"/>
      <c r="F330" s="234"/>
      <c r="G330" s="239">
        <f>('MATRIZ COMPLETO PROPOSTA'!L329+
  'MATRIZ COMPLETO PROPOSTA'!P329*0.25+
  'MATRIZ COMPLETO PROPOSTA'!S329*0.8)
 /
 ('MATRIZ COMPLETO PROPOSTA'!L11+
  'MATRIZ COMPLETO PROPOSTA'!P11*0.25+
  'MATRIZ COMPLETO PROPOSTA'!S11*0.8)
 *
 'DADOS BASE'!$J$93</f>
        <v>2351839.7819066946</v>
      </c>
      <c r="H330" s="239"/>
      <c r="I330" s="239"/>
      <c r="J330" s="239"/>
      <c r="K330" s="239">
        <f t="shared" ref="K330:K339" si="17">J330+I330+H330+G330</f>
        <v>2351839.7819066946</v>
      </c>
      <c r="L330" s="234"/>
      <c r="M330" s="239">
        <f>'MATRIZ COMPLETO PROPOSTA'!BD330+
 'MATRIZ COMPLETO PROPOSTA'!BA330+
 'MATRIZ COMPLETO PROPOSTA'!AX330+
 'MATRIZ COMPLETO PROPOSTA'!AS330+
 'MATRIZ COMPLETO PROPOSTA'!AM330</f>
        <v>0</v>
      </c>
      <c r="N330" s="234"/>
      <c r="O330" s="239"/>
      <c r="P330" s="234"/>
      <c r="Q330" s="242"/>
    </row>
    <row r="331" spans="2:17" x14ac:dyDescent="0.3">
      <c r="B331" s="230" t="s">
        <v>382</v>
      </c>
      <c r="C331" s="230" t="s">
        <v>448</v>
      </c>
      <c r="D331" s="230" t="s">
        <v>92</v>
      </c>
      <c r="G331" s="200">
        <f ca="1">'MATRIZ COMPLETO PROPOSTA'!H331</f>
        <v>243464.07447914314</v>
      </c>
      <c r="H331" s="200"/>
      <c r="I331" s="200"/>
      <c r="J331" s="200"/>
      <c r="K331" s="200">
        <f t="shared" ca="1" si="17"/>
        <v>243464.07447914314</v>
      </c>
      <c r="M331" s="200">
        <f>'MATRIZ COMPLETO PROPOSTA'!BD331+
 'MATRIZ COMPLETO PROPOSTA'!BA331+
 'MATRIZ COMPLETO PROPOSTA'!AX331+
 'MATRIZ COMPLETO PROPOSTA'!AS331+
 'MATRIZ COMPLETO PROPOSTA'!AM331</f>
        <v>68922.083470547266</v>
      </c>
      <c r="O331" s="200"/>
      <c r="Q331" s="240"/>
    </row>
    <row r="332" spans="2:17" x14ac:dyDescent="0.3">
      <c r="B332" s="235" t="s">
        <v>382</v>
      </c>
      <c r="C332" s="235" t="s">
        <v>449</v>
      </c>
      <c r="D332" s="235" t="s">
        <v>98</v>
      </c>
      <c r="E332" s="236"/>
      <c r="F332" s="236"/>
      <c r="G332" s="237">
        <f ca="1">'MATRIZ COMPLETO PROPOSTA'!H332</f>
        <v>1775289.7173792457</v>
      </c>
      <c r="H332" s="237"/>
      <c r="I332" s="237"/>
      <c r="J332" s="237"/>
      <c r="K332" s="237">
        <f t="shared" ca="1" si="17"/>
        <v>1775289.7173792457</v>
      </c>
      <c r="L332" s="236"/>
      <c r="M332" s="237">
        <f>'MATRIZ COMPLETO PROPOSTA'!BD332+
 'MATRIZ COMPLETO PROPOSTA'!BA332+
 'MATRIZ COMPLETO PROPOSTA'!AX332+
 'MATRIZ COMPLETO PROPOSTA'!AS332+
 'MATRIZ COMPLETO PROPOSTA'!AM332</f>
        <v>342785.76487560081</v>
      </c>
      <c r="N332" s="236"/>
      <c r="O332" s="237"/>
      <c r="P332" s="236"/>
      <c r="Q332" s="243"/>
    </row>
    <row r="333" spans="2:17" x14ac:dyDescent="0.3">
      <c r="B333" s="230" t="s">
        <v>382</v>
      </c>
      <c r="C333" s="230" t="s">
        <v>450</v>
      </c>
      <c r="D333" s="230" t="s">
        <v>92</v>
      </c>
      <c r="G333" s="200">
        <f ca="1">'MATRIZ COMPLETO PROPOSTA'!H333</f>
        <v>2554938.3881201292</v>
      </c>
      <c r="H333" s="200"/>
      <c r="I333" s="200"/>
      <c r="J333" s="200"/>
      <c r="K333" s="200">
        <f t="shared" ca="1" si="17"/>
        <v>2554938.3881201292</v>
      </c>
      <c r="M333" s="200">
        <f>'MATRIZ COMPLETO PROPOSTA'!BD333+
 'MATRIZ COMPLETO PROPOSTA'!BA333+
 'MATRIZ COMPLETO PROPOSTA'!AX333+
 'MATRIZ COMPLETO PROPOSTA'!AS333+
 'MATRIZ COMPLETO PROPOSTA'!AM333</f>
        <v>557908.00737342215</v>
      </c>
      <c r="O333" s="200"/>
      <c r="Q333" s="240"/>
    </row>
    <row r="334" spans="2:17" x14ac:dyDescent="0.3">
      <c r="B334" s="235" t="s">
        <v>382</v>
      </c>
      <c r="C334" s="235" t="s">
        <v>451</v>
      </c>
      <c r="D334" s="235" t="s">
        <v>94</v>
      </c>
      <c r="E334" s="236"/>
      <c r="F334" s="236"/>
      <c r="G334" s="237">
        <f ca="1">'MATRIZ COMPLETO PROPOSTA'!H334</f>
        <v>2437110.7805851479</v>
      </c>
      <c r="H334" s="237"/>
      <c r="I334" s="237"/>
      <c r="J334" s="237"/>
      <c r="K334" s="237">
        <f t="shared" ca="1" si="17"/>
        <v>2437110.7805851479</v>
      </c>
      <c r="L334" s="236"/>
      <c r="M334" s="237">
        <f>'MATRIZ COMPLETO PROPOSTA'!BD334+
 'MATRIZ COMPLETO PROPOSTA'!BA334+
 'MATRIZ COMPLETO PROPOSTA'!AX334+
 'MATRIZ COMPLETO PROPOSTA'!AS334+
 'MATRIZ COMPLETO PROPOSTA'!AM334</f>
        <v>700254.24139206449</v>
      </c>
      <c r="N334" s="236"/>
      <c r="O334" s="237"/>
      <c r="P334" s="236"/>
      <c r="Q334" s="243"/>
    </row>
    <row r="335" spans="2:17" x14ac:dyDescent="0.3">
      <c r="B335" s="230" t="s">
        <v>382</v>
      </c>
      <c r="C335" s="230" t="s">
        <v>452</v>
      </c>
      <c r="D335" s="230" t="s">
        <v>94</v>
      </c>
      <c r="G335" s="200">
        <f ca="1">'MATRIZ COMPLETO PROPOSTA'!H335</f>
        <v>1178459.624545974</v>
      </c>
      <c r="H335" s="200"/>
      <c r="I335" s="200"/>
      <c r="J335" s="200"/>
      <c r="K335" s="200">
        <f t="shared" ca="1" si="17"/>
        <v>1178459.624545974</v>
      </c>
      <c r="M335" s="200">
        <f>'MATRIZ COMPLETO PROPOSTA'!BD335+
 'MATRIZ COMPLETO PROPOSTA'!BA335+
 'MATRIZ COMPLETO PROPOSTA'!AX335+
 'MATRIZ COMPLETO PROPOSTA'!AS335+
 'MATRIZ COMPLETO PROPOSTA'!AM335</f>
        <v>276044.83570080745</v>
      </c>
      <c r="O335" s="200"/>
      <c r="Q335" s="240"/>
    </row>
    <row r="336" spans="2:17" x14ac:dyDescent="0.3">
      <c r="B336" s="235" t="s">
        <v>382</v>
      </c>
      <c r="C336" s="235" t="s">
        <v>453</v>
      </c>
      <c r="D336" s="235" t="s">
        <v>94</v>
      </c>
      <c r="E336" s="236"/>
      <c r="F336" s="236"/>
      <c r="G336" s="237">
        <f ca="1">'MATRIZ COMPLETO PROPOSTA'!H336</f>
        <v>1487271.5452242843</v>
      </c>
      <c r="H336" s="237"/>
      <c r="I336" s="237"/>
      <c r="J336" s="237"/>
      <c r="K336" s="237">
        <f t="shared" ca="1" si="17"/>
        <v>1487271.5452242843</v>
      </c>
      <c r="L336" s="236"/>
      <c r="M336" s="237">
        <f>'MATRIZ COMPLETO PROPOSTA'!BD336+
 'MATRIZ COMPLETO PROPOSTA'!BA336+
 'MATRIZ COMPLETO PROPOSTA'!AX336+
 'MATRIZ COMPLETO PROPOSTA'!AS336+
 'MATRIZ COMPLETO PROPOSTA'!AM336</f>
        <v>459188.81433510414</v>
      </c>
      <c r="N336" s="236"/>
      <c r="O336" s="237"/>
      <c r="P336" s="236"/>
      <c r="Q336" s="243"/>
    </row>
    <row r="337" spans="2:17" x14ac:dyDescent="0.3">
      <c r="B337" s="230" t="s">
        <v>382</v>
      </c>
      <c r="C337" s="230" t="s">
        <v>454</v>
      </c>
      <c r="D337" s="230" t="s">
        <v>92</v>
      </c>
      <c r="G337" s="200">
        <f ca="1">'MATRIZ COMPLETO PROPOSTA'!H337</f>
        <v>4351306.9213353395</v>
      </c>
      <c r="H337" s="200"/>
      <c r="I337" s="200"/>
      <c r="J337" s="200"/>
      <c r="K337" s="200">
        <f t="shared" ca="1" si="17"/>
        <v>4351306.9213353395</v>
      </c>
      <c r="M337" s="200">
        <f>'MATRIZ COMPLETO PROPOSTA'!BD337+
 'MATRIZ COMPLETO PROPOSTA'!BA337+
 'MATRIZ COMPLETO PROPOSTA'!AX337+
 'MATRIZ COMPLETO PROPOSTA'!AS337+
 'MATRIZ COMPLETO PROPOSTA'!AM337</f>
        <v>834448.16362603009</v>
      </c>
      <c r="O337" s="200"/>
      <c r="Q337" s="240"/>
    </row>
    <row r="338" spans="2:17" x14ac:dyDescent="0.3">
      <c r="B338" s="235" t="s">
        <v>382</v>
      </c>
      <c r="C338" s="235" t="s">
        <v>455</v>
      </c>
      <c r="D338" s="235" t="s">
        <v>92</v>
      </c>
      <c r="E338" s="236"/>
      <c r="F338" s="236"/>
      <c r="G338" s="237">
        <f ca="1">'MATRIZ COMPLETO PROPOSTA'!H338</f>
        <v>3768785.233526825</v>
      </c>
      <c r="H338" s="237"/>
      <c r="I338" s="237"/>
      <c r="J338" s="237"/>
      <c r="K338" s="237">
        <f t="shared" ca="1" si="17"/>
        <v>3768785.233526825</v>
      </c>
      <c r="L338" s="236"/>
      <c r="M338" s="237">
        <f>'MATRIZ COMPLETO PROPOSTA'!BD338+
 'MATRIZ COMPLETO PROPOSTA'!BA338+
 'MATRIZ COMPLETO PROPOSTA'!AX338+
 'MATRIZ COMPLETO PROPOSTA'!AS338+
 'MATRIZ COMPLETO PROPOSTA'!AM338</f>
        <v>853865.48894533701</v>
      </c>
      <c r="N338" s="236"/>
      <c r="O338" s="237"/>
      <c r="P338" s="236"/>
      <c r="Q338" s="243"/>
    </row>
    <row r="339" spans="2:17" x14ac:dyDescent="0.3">
      <c r="B339" s="230" t="s">
        <v>382</v>
      </c>
      <c r="C339" s="230" t="s">
        <v>456</v>
      </c>
      <c r="D339" s="230" t="s">
        <v>94</v>
      </c>
      <c r="G339" s="200">
        <f ca="1">'MATRIZ COMPLETO PROPOSTA'!H339</f>
        <v>1018091.97005747</v>
      </c>
      <c r="H339" s="200"/>
      <c r="I339" s="200"/>
      <c r="J339" s="200"/>
      <c r="K339" s="200">
        <f t="shared" ca="1" si="17"/>
        <v>1018091.97005747</v>
      </c>
      <c r="M339" s="200">
        <f>'MATRIZ COMPLETO PROPOSTA'!BD339+
 'MATRIZ COMPLETO PROPOSTA'!BA339+
 'MATRIZ COMPLETO PROPOSTA'!AX339+
 'MATRIZ COMPLETO PROPOSTA'!AS339+
 'MATRIZ COMPLETO PROPOSTA'!AM339</f>
        <v>331130.66006078495</v>
      </c>
      <c r="O339" s="200"/>
      <c r="Q339" s="240"/>
    </row>
    <row r="340" spans="2:17" x14ac:dyDescent="0.3">
      <c r="G340" s="200"/>
      <c r="H340" s="200"/>
      <c r="I340" s="200"/>
      <c r="J340" s="200"/>
      <c r="K340" s="200"/>
      <c r="M340" s="200"/>
      <c r="O340" s="200"/>
      <c r="Q340" s="240"/>
    </row>
    <row r="341" spans="2:17" x14ac:dyDescent="0.3">
      <c r="B341" s="231" t="s">
        <v>457</v>
      </c>
      <c r="C341" s="231" t="s">
        <v>458</v>
      </c>
      <c r="D341" s="232" t="s">
        <v>154</v>
      </c>
      <c r="E341" s="232"/>
      <c r="F341" s="232"/>
      <c r="G341" s="238">
        <f ca="1">SUM(G342:G352)</f>
        <v>23619450.426007334</v>
      </c>
      <c r="H341" s="238">
        <f>'MATRIZ COMPLETO PROPOSTA'!Y341</f>
        <v>273455.44634598331</v>
      </c>
      <c r="I341" s="238">
        <f>'MATRIZ COMPLETO PROPOSTA'!AA341</f>
        <v>1311209.3707194105</v>
      </c>
      <c r="J341" s="238">
        <f>'MATRIZ COMPLETO PROPOSTA'!AC341</f>
        <v>1933725.1052890592</v>
      </c>
      <c r="K341" s="238">
        <f ca="1">SUM(G341:J341)</f>
        <v>27137840.34836179</v>
      </c>
      <c r="L341" s="232"/>
      <c r="M341" s="238">
        <f>SUM(M342:M352)</f>
        <v>6652684.5257916693</v>
      </c>
      <c r="N341" s="232"/>
      <c r="O341" s="238">
        <f ca="1">K341*'DADOS BASE'!$I$22</f>
        <v>40706.760522542689</v>
      </c>
      <c r="P341" s="232"/>
      <c r="Q341" s="241">
        <f ca="1">SUM(H341:J341)/K341</f>
        <v>0.12964885477951621</v>
      </c>
    </row>
    <row r="342" spans="2:17" x14ac:dyDescent="0.3">
      <c r="B342" s="233" t="s">
        <v>457</v>
      </c>
      <c r="C342" s="234" t="s">
        <v>156</v>
      </c>
      <c r="D342" s="234" t="s">
        <v>157</v>
      </c>
      <c r="E342" s="234"/>
      <c r="F342" s="234"/>
      <c r="G342" s="239">
        <f>('MATRIZ COMPLETO PROPOSTA'!L341+
  'MATRIZ COMPLETO PROPOSTA'!P341*0.25+
  'MATRIZ COMPLETO PROPOSTA'!S341*0.8)
 /
 ('MATRIZ COMPLETO PROPOSTA'!L11+
  'MATRIZ COMPLETO PROPOSTA'!P11*0.25+
  'MATRIZ COMPLETO PROPOSTA'!S11*0.8)
 *
 'DADOS BASE'!$J$93</f>
        <v>2624383.3806674816</v>
      </c>
      <c r="H342" s="239"/>
      <c r="I342" s="239"/>
      <c r="J342" s="239"/>
      <c r="K342" s="239">
        <f t="shared" ref="K342:K352" si="18">J342+I342+H342+G342</f>
        <v>2624383.3806674816</v>
      </c>
      <c r="L342" s="234"/>
      <c r="M342" s="239">
        <f>'MATRIZ COMPLETO PROPOSTA'!BD342+
 'MATRIZ COMPLETO PROPOSTA'!BA342+
 'MATRIZ COMPLETO PROPOSTA'!AX342+
 'MATRIZ COMPLETO PROPOSTA'!AS342+
 'MATRIZ COMPLETO PROPOSTA'!AM342</f>
        <v>0</v>
      </c>
      <c r="N342" s="234"/>
      <c r="O342" s="239"/>
      <c r="P342" s="234"/>
      <c r="Q342" s="242"/>
    </row>
    <row r="343" spans="2:17" x14ac:dyDescent="0.3">
      <c r="B343" s="230" t="s">
        <v>457</v>
      </c>
      <c r="C343" s="230" t="s">
        <v>459</v>
      </c>
      <c r="D343" s="230" t="s">
        <v>94</v>
      </c>
      <c r="G343" s="200">
        <f ca="1">'MATRIZ COMPLETO PROPOSTA'!H343</f>
        <v>1958328.545958363</v>
      </c>
      <c r="H343" s="200"/>
      <c r="I343" s="200"/>
      <c r="J343" s="200"/>
      <c r="K343" s="200">
        <f t="shared" ca="1" si="18"/>
        <v>1958328.545958363</v>
      </c>
      <c r="M343" s="200">
        <f>'MATRIZ COMPLETO PROPOSTA'!BD343+
 'MATRIZ COMPLETO PROPOSTA'!BA343+
 'MATRIZ COMPLETO PROPOSTA'!AX343+
 'MATRIZ COMPLETO PROPOSTA'!AS343+
 'MATRIZ COMPLETO PROPOSTA'!AM343</f>
        <v>700463.23549528536</v>
      </c>
      <c r="O343" s="200"/>
      <c r="Q343" s="240"/>
    </row>
    <row r="344" spans="2:17" x14ac:dyDescent="0.3">
      <c r="B344" s="235" t="s">
        <v>457</v>
      </c>
      <c r="C344" s="235" t="s">
        <v>460</v>
      </c>
      <c r="D344" s="235" t="s">
        <v>94</v>
      </c>
      <c r="E344" s="236"/>
      <c r="F344" s="236"/>
      <c r="G344" s="237">
        <f ca="1">'MATRIZ COMPLETO PROPOSTA'!H344</f>
        <v>3039497.4026659313</v>
      </c>
      <c r="H344" s="237"/>
      <c r="I344" s="237"/>
      <c r="J344" s="237"/>
      <c r="K344" s="237">
        <f t="shared" ca="1" si="18"/>
        <v>3039497.4026659313</v>
      </c>
      <c r="L344" s="236"/>
      <c r="M344" s="237">
        <f>'MATRIZ COMPLETO PROPOSTA'!BD344+
 'MATRIZ COMPLETO PROPOSTA'!BA344+
 'MATRIZ COMPLETO PROPOSTA'!AX344+
 'MATRIZ COMPLETO PROPOSTA'!AS344+
 'MATRIZ COMPLETO PROPOSTA'!AM344</f>
        <v>994683.70400863374</v>
      </c>
      <c r="N344" s="236"/>
      <c r="O344" s="237"/>
      <c r="P344" s="236"/>
      <c r="Q344" s="243"/>
    </row>
    <row r="345" spans="2:17" x14ac:dyDescent="0.3">
      <c r="B345" s="230" t="s">
        <v>457</v>
      </c>
      <c r="C345" s="230" t="s">
        <v>461</v>
      </c>
      <c r="D345" s="230" t="s">
        <v>94</v>
      </c>
      <c r="G345" s="200">
        <f ca="1">'MATRIZ COMPLETO PROPOSTA'!H345</f>
        <v>1868868.2063218448</v>
      </c>
      <c r="H345" s="200"/>
      <c r="I345" s="200"/>
      <c r="J345" s="200"/>
      <c r="K345" s="200">
        <f t="shared" ca="1" si="18"/>
        <v>1868868.2063218448</v>
      </c>
      <c r="M345" s="200">
        <f>'MATRIZ COMPLETO PROPOSTA'!BD345+
 'MATRIZ COMPLETO PROPOSTA'!BA345+
 'MATRIZ COMPLETO PROPOSTA'!AX345+
 'MATRIZ COMPLETO PROPOSTA'!AS345+
 'MATRIZ COMPLETO PROPOSTA'!AM345</f>
        <v>720579.73417996732</v>
      </c>
      <c r="O345" s="200"/>
      <c r="Q345" s="240"/>
    </row>
    <row r="346" spans="2:17" x14ac:dyDescent="0.3">
      <c r="B346" s="235" t="s">
        <v>457</v>
      </c>
      <c r="C346" s="235" t="s">
        <v>462</v>
      </c>
      <c r="D346" s="235" t="s">
        <v>94</v>
      </c>
      <c r="E346" s="236"/>
      <c r="F346" s="236"/>
      <c r="G346" s="237">
        <f ca="1">'MATRIZ COMPLETO PROPOSTA'!H346</f>
        <v>1804596.8804813006</v>
      </c>
      <c r="H346" s="237"/>
      <c r="I346" s="237"/>
      <c r="J346" s="237"/>
      <c r="K346" s="237">
        <f t="shared" ca="1" si="18"/>
        <v>1804596.8804813006</v>
      </c>
      <c r="L346" s="236"/>
      <c r="M346" s="237">
        <f>'MATRIZ COMPLETO PROPOSTA'!BD346+
 'MATRIZ COMPLETO PROPOSTA'!BA346+
 'MATRIZ COMPLETO PROPOSTA'!AX346+
 'MATRIZ COMPLETO PROPOSTA'!AS346+
 'MATRIZ COMPLETO PROPOSTA'!AM346</f>
        <v>568320.40505588555</v>
      </c>
      <c r="N346" s="236"/>
      <c r="O346" s="237"/>
      <c r="P346" s="236"/>
      <c r="Q346" s="243"/>
    </row>
    <row r="347" spans="2:17" x14ac:dyDescent="0.3">
      <c r="B347" s="230" t="s">
        <v>457</v>
      </c>
      <c r="C347" s="230" t="s">
        <v>463</v>
      </c>
      <c r="D347" s="230" t="s">
        <v>94</v>
      </c>
      <c r="G347" s="200">
        <f ca="1">'MATRIZ COMPLETO PROPOSTA'!H347</f>
        <v>1336493.6103744945</v>
      </c>
      <c r="H347" s="200"/>
      <c r="I347" s="200"/>
      <c r="J347" s="200"/>
      <c r="K347" s="200">
        <f t="shared" ca="1" si="18"/>
        <v>1336493.6103744945</v>
      </c>
      <c r="M347" s="200">
        <f>'MATRIZ COMPLETO PROPOSTA'!BD347+
 'MATRIZ COMPLETO PROPOSTA'!BA347+
 'MATRIZ COMPLETO PROPOSTA'!AX347+
 'MATRIZ COMPLETO PROPOSTA'!AS347+
 'MATRIZ COMPLETO PROPOSTA'!AM347</f>
        <v>230200.30262421005</v>
      </c>
      <c r="O347" s="200"/>
      <c r="Q347" s="240"/>
    </row>
    <row r="348" spans="2:17" x14ac:dyDescent="0.3">
      <c r="B348" s="235" t="s">
        <v>457</v>
      </c>
      <c r="C348" s="235" t="s">
        <v>464</v>
      </c>
      <c r="D348" s="235" t="s">
        <v>94</v>
      </c>
      <c r="E348" s="236"/>
      <c r="F348" s="236"/>
      <c r="G348" s="237">
        <f ca="1">'MATRIZ COMPLETO PROPOSTA'!H348</f>
        <v>1344493.2668919587</v>
      </c>
      <c r="H348" s="237"/>
      <c r="I348" s="237"/>
      <c r="J348" s="237"/>
      <c r="K348" s="237">
        <f t="shared" ca="1" si="18"/>
        <v>1344493.2668919587</v>
      </c>
      <c r="L348" s="236"/>
      <c r="M348" s="237">
        <f>'MATRIZ COMPLETO PROPOSTA'!BD348+
 'MATRIZ COMPLETO PROPOSTA'!BA348+
 'MATRIZ COMPLETO PROPOSTA'!AX348+
 'MATRIZ COMPLETO PROPOSTA'!AS348+
 'MATRIZ COMPLETO PROPOSTA'!AM348</f>
        <v>423771.83430441283</v>
      </c>
      <c r="N348" s="236"/>
      <c r="O348" s="237"/>
      <c r="P348" s="236"/>
      <c r="Q348" s="243"/>
    </row>
    <row r="349" spans="2:17" x14ac:dyDescent="0.3">
      <c r="B349" s="230" t="s">
        <v>457</v>
      </c>
      <c r="C349" s="230" t="s">
        <v>465</v>
      </c>
      <c r="D349" s="230" t="s">
        <v>92</v>
      </c>
      <c r="G349" s="200">
        <f ca="1">'MATRIZ COMPLETO PROPOSTA'!H349</f>
        <v>2176744.435838446</v>
      </c>
      <c r="H349" s="200"/>
      <c r="I349" s="200"/>
      <c r="J349" s="200"/>
      <c r="K349" s="200">
        <f t="shared" ca="1" si="18"/>
        <v>2176744.435838446</v>
      </c>
      <c r="M349" s="200">
        <f>'MATRIZ COMPLETO PROPOSTA'!BD349+
 'MATRIZ COMPLETO PROPOSTA'!BA349+
 'MATRIZ COMPLETO PROPOSTA'!AX349+
 'MATRIZ COMPLETO PROPOSTA'!AS349+
 'MATRIZ COMPLETO PROPOSTA'!AM349</f>
        <v>614697.93255080434</v>
      </c>
      <c r="O349" s="200"/>
      <c r="Q349" s="240"/>
    </row>
    <row r="350" spans="2:17" x14ac:dyDescent="0.3">
      <c r="B350" s="235" t="s">
        <v>457</v>
      </c>
      <c r="C350" s="235" t="s">
        <v>466</v>
      </c>
      <c r="D350" s="235" t="s">
        <v>92</v>
      </c>
      <c r="E350" s="236"/>
      <c r="F350" s="236"/>
      <c r="G350" s="237">
        <f ca="1">'MATRIZ COMPLETO PROPOSTA'!H350</f>
        <v>2272660.6724526002</v>
      </c>
      <c r="H350" s="237"/>
      <c r="I350" s="237"/>
      <c r="J350" s="237"/>
      <c r="K350" s="237">
        <f t="shared" ca="1" si="18"/>
        <v>2272660.6724526002</v>
      </c>
      <c r="L350" s="236"/>
      <c r="M350" s="237">
        <f>'MATRIZ COMPLETO PROPOSTA'!BD350+
 'MATRIZ COMPLETO PROPOSTA'!BA350+
 'MATRIZ COMPLETO PROPOSTA'!AX350+
 'MATRIZ COMPLETO PROPOSTA'!AS350+
 'MATRIZ COMPLETO PROPOSTA'!AM350</f>
        <v>822319.43844657007</v>
      </c>
      <c r="N350" s="236"/>
      <c r="O350" s="237"/>
      <c r="P350" s="236"/>
      <c r="Q350" s="243"/>
    </row>
    <row r="351" spans="2:17" x14ac:dyDescent="0.3">
      <c r="B351" s="230" t="s">
        <v>457</v>
      </c>
      <c r="C351" s="230" t="s">
        <v>467</v>
      </c>
      <c r="D351" s="230" t="s">
        <v>92</v>
      </c>
      <c r="G351" s="200">
        <f ca="1">'MATRIZ COMPLETO PROPOSTA'!H351</f>
        <v>3028744.014312502</v>
      </c>
      <c r="H351" s="200"/>
      <c r="I351" s="200"/>
      <c r="J351" s="200"/>
      <c r="K351" s="200">
        <f t="shared" ca="1" si="18"/>
        <v>3028744.014312502</v>
      </c>
      <c r="M351" s="200">
        <f>'MATRIZ COMPLETO PROPOSTA'!BD351+
 'MATRIZ COMPLETO PROPOSTA'!BA351+
 'MATRIZ COMPLETO PROPOSTA'!AX351+
 'MATRIZ COMPLETO PROPOSTA'!AS351+
 'MATRIZ COMPLETO PROPOSTA'!AM351</f>
        <v>834057.62255150045</v>
      </c>
      <c r="O351" s="200"/>
      <c r="Q351" s="240"/>
    </row>
    <row r="352" spans="2:17" x14ac:dyDescent="0.3">
      <c r="B352" s="235" t="s">
        <v>457</v>
      </c>
      <c r="C352" s="235" t="s">
        <v>468</v>
      </c>
      <c r="D352" s="235" t="s">
        <v>94</v>
      </c>
      <c r="E352" s="236"/>
      <c r="F352" s="236"/>
      <c r="G352" s="237">
        <f ca="1">'MATRIZ COMPLETO PROPOSTA'!H352</f>
        <v>2164640.0100424108</v>
      </c>
      <c r="H352" s="237"/>
      <c r="I352" s="237"/>
      <c r="J352" s="237"/>
      <c r="K352" s="237">
        <f t="shared" ca="1" si="18"/>
        <v>2164640.0100424108</v>
      </c>
      <c r="L352" s="236"/>
      <c r="M352" s="237">
        <f>'MATRIZ COMPLETO PROPOSTA'!BD352+
 'MATRIZ COMPLETO PROPOSTA'!BA352+
 'MATRIZ COMPLETO PROPOSTA'!AX352+
 'MATRIZ COMPLETO PROPOSTA'!AS352+
 'MATRIZ COMPLETO PROPOSTA'!AM352</f>
        <v>743590.31657439843</v>
      </c>
      <c r="N352" s="236"/>
      <c r="O352" s="237"/>
      <c r="P352" s="236"/>
      <c r="Q352" s="243"/>
    </row>
    <row r="353" spans="2:17" x14ac:dyDescent="0.3">
      <c r="G353" s="200"/>
      <c r="H353" s="200"/>
      <c r="I353" s="200"/>
      <c r="J353" s="200"/>
      <c r="K353" s="200"/>
      <c r="M353" s="200"/>
      <c r="O353" s="200"/>
      <c r="Q353" s="240"/>
    </row>
    <row r="354" spans="2:17" x14ac:dyDescent="0.3">
      <c r="B354" s="231" t="s">
        <v>469</v>
      </c>
      <c r="C354" s="231" t="s">
        <v>470</v>
      </c>
      <c r="D354" s="232" t="s">
        <v>154</v>
      </c>
      <c r="E354" s="232"/>
      <c r="F354" s="232"/>
      <c r="G354" s="238">
        <f ca="1">SUM(G355:G374)</f>
        <v>53659655.685135931</v>
      </c>
      <c r="H354" s="238">
        <f>'MATRIZ COMPLETO PROPOSTA'!Y354</f>
        <v>1631566.5737291074</v>
      </c>
      <c r="I354" s="238">
        <f>'MATRIZ COMPLETO PROPOSTA'!AA354</f>
        <v>1386169.6160509195</v>
      </c>
      <c r="J354" s="238">
        <f>'MATRIZ COMPLETO PROPOSTA'!AC354</f>
        <v>1171489.2444213089</v>
      </c>
      <c r="K354" s="238">
        <f ca="1">SUM(G354:J354)</f>
        <v>57848881.119337268</v>
      </c>
      <c r="L354" s="232"/>
      <c r="M354" s="238">
        <f>SUM(M355:M374)</f>
        <v>16218268.941635372</v>
      </c>
      <c r="N354" s="232"/>
      <c r="O354" s="238">
        <f ca="1">K354*'DADOS BASE'!$I$22</f>
        <v>86773.321679005909</v>
      </c>
      <c r="P354" s="232"/>
      <c r="Q354" s="241">
        <f ca="1">SUM(H354:J354)/K354</f>
        <v>7.2416706306891634E-2</v>
      </c>
    </row>
    <row r="355" spans="2:17" x14ac:dyDescent="0.3">
      <c r="B355" s="233" t="s">
        <v>469</v>
      </c>
      <c r="C355" s="234" t="s">
        <v>156</v>
      </c>
      <c r="D355" s="234" t="s">
        <v>157</v>
      </c>
      <c r="E355" s="234"/>
      <c r="F355" s="234"/>
      <c r="G355" s="239">
        <f>('MATRIZ COMPLETO PROPOSTA'!L354+
  'MATRIZ COMPLETO PROPOSTA'!P354*0.25+
  'MATRIZ COMPLETO PROPOSTA'!S354*0.8)
 /
 ('MATRIZ COMPLETO PROPOSTA'!L11+
  'MATRIZ COMPLETO PROPOSTA'!P11*0.25+
  'MATRIZ COMPLETO PROPOSTA'!S11*0.8)
 *
 'DADOS BASE'!$J$93</f>
        <v>5962183.9650151031</v>
      </c>
      <c r="H355" s="239"/>
      <c r="I355" s="239"/>
      <c r="J355" s="239"/>
      <c r="K355" s="239">
        <f t="shared" ref="K355:K374" si="19">J355+I355+H355+G355</f>
        <v>5962183.9650151031</v>
      </c>
      <c r="L355" s="234"/>
      <c r="M355" s="239">
        <f>'MATRIZ COMPLETO PROPOSTA'!BD355+
 'MATRIZ COMPLETO PROPOSTA'!BA355+
 'MATRIZ COMPLETO PROPOSTA'!AX355+
 'MATRIZ COMPLETO PROPOSTA'!AS355+
 'MATRIZ COMPLETO PROPOSTA'!AM355</f>
        <v>0</v>
      </c>
      <c r="N355" s="234"/>
      <c r="O355" s="239"/>
      <c r="P355" s="234"/>
      <c r="Q355" s="242"/>
    </row>
    <row r="356" spans="2:17" x14ac:dyDescent="0.3">
      <c r="B356" s="235" t="s">
        <v>469</v>
      </c>
      <c r="C356" s="235" t="s">
        <v>471</v>
      </c>
      <c r="D356" s="235" t="s">
        <v>94</v>
      </c>
      <c r="E356" s="236"/>
      <c r="F356" s="236"/>
      <c r="G356" s="237">
        <f ca="1">'MATRIZ COMPLETO PROPOSTA'!H356</f>
        <v>2615320.3109397171</v>
      </c>
      <c r="H356" s="237"/>
      <c r="I356" s="237"/>
      <c r="J356" s="237"/>
      <c r="K356" s="237">
        <f t="shared" ca="1" si="19"/>
        <v>2615320.3109397171</v>
      </c>
      <c r="L356" s="236"/>
      <c r="M356" s="237">
        <f>'MATRIZ COMPLETO PROPOSTA'!BD356+
 'MATRIZ COMPLETO PROPOSTA'!BA356+
 'MATRIZ COMPLETO PROPOSTA'!AX356+
 'MATRIZ COMPLETO PROPOSTA'!AS356+
 'MATRIZ COMPLETO PROPOSTA'!AM356</f>
        <v>741489.02762123186</v>
      </c>
      <c r="N356" s="236"/>
      <c r="O356" s="237"/>
      <c r="P356" s="236"/>
      <c r="Q356" s="243"/>
    </row>
    <row r="357" spans="2:17" x14ac:dyDescent="0.3">
      <c r="B357" s="230" t="s">
        <v>469</v>
      </c>
      <c r="C357" s="230" t="s">
        <v>472</v>
      </c>
      <c r="D357" s="230" t="s">
        <v>98</v>
      </c>
      <c r="G357" s="200">
        <f ca="1">'MATRIZ COMPLETO PROPOSTA'!H357</f>
        <v>1309312.3810610927</v>
      </c>
      <c r="H357" s="200"/>
      <c r="I357" s="200"/>
      <c r="J357" s="200"/>
      <c r="K357" s="200">
        <f t="shared" ca="1" si="19"/>
        <v>1309312.3810610927</v>
      </c>
      <c r="M357" s="200">
        <f>'MATRIZ COMPLETO PROPOSTA'!BD357+
 'MATRIZ COMPLETO PROPOSTA'!BA357+
 'MATRIZ COMPLETO PROPOSTA'!AX357+
 'MATRIZ COMPLETO PROPOSTA'!AS357+
 'MATRIZ COMPLETO PROPOSTA'!AM357</f>
        <v>278519.42258589563</v>
      </c>
      <c r="O357" s="200"/>
      <c r="Q357" s="240"/>
    </row>
    <row r="358" spans="2:17" x14ac:dyDescent="0.3">
      <c r="B358" s="235" t="s">
        <v>469</v>
      </c>
      <c r="C358" s="235" t="s">
        <v>473</v>
      </c>
      <c r="D358" s="235" t="s">
        <v>98</v>
      </c>
      <c r="E358" s="236"/>
      <c r="F358" s="236"/>
      <c r="G358" s="237">
        <f ca="1">'MATRIZ COMPLETO PROPOSTA'!H358</f>
        <v>2413575.4334610887</v>
      </c>
      <c r="H358" s="237"/>
      <c r="I358" s="237"/>
      <c r="J358" s="237"/>
      <c r="K358" s="237">
        <f t="shared" ca="1" si="19"/>
        <v>2413575.4334610887</v>
      </c>
      <c r="L358" s="236"/>
      <c r="M358" s="237">
        <f>'MATRIZ COMPLETO PROPOSTA'!BD358+
 'MATRIZ COMPLETO PROPOSTA'!BA358+
 'MATRIZ COMPLETO PROPOSTA'!AX358+
 'MATRIZ COMPLETO PROPOSTA'!AS358+
 'MATRIZ COMPLETO PROPOSTA'!AM358</f>
        <v>113254.15885373949</v>
      </c>
      <c r="N358" s="236"/>
      <c r="O358" s="237"/>
      <c r="P358" s="236"/>
      <c r="Q358" s="243"/>
    </row>
    <row r="359" spans="2:17" x14ac:dyDescent="0.3">
      <c r="B359" s="230" t="s">
        <v>469</v>
      </c>
      <c r="C359" s="230" t="s">
        <v>474</v>
      </c>
      <c r="D359" s="230" t="s">
        <v>98</v>
      </c>
      <c r="G359" s="200">
        <f ca="1">'MATRIZ COMPLETO PROPOSTA'!H359</f>
        <v>1023344.2163150364</v>
      </c>
      <c r="H359" s="200"/>
      <c r="I359" s="200"/>
      <c r="J359" s="200"/>
      <c r="K359" s="200">
        <f t="shared" ca="1" si="19"/>
        <v>1023344.2163150364</v>
      </c>
      <c r="M359" s="200">
        <f>'MATRIZ COMPLETO PROPOSTA'!BD359+
 'MATRIZ COMPLETO PROPOSTA'!BA359+
 'MATRIZ COMPLETO PROPOSTA'!AX359+
 'MATRIZ COMPLETO PROPOSTA'!AS359+
 'MATRIZ COMPLETO PROPOSTA'!AM359</f>
        <v>263265.61031339795</v>
      </c>
      <c r="O359" s="200"/>
      <c r="Q359" s="240"/>
    </row>
    <row r="360" spans="2:17" x14ac:dyDescent="0.3">
      <c r="B360" s="235" t="s">
        <v>469</v>
      </c>
      <c r="C360" s="235" t="s">
        <v>475</v>
      </c>
      <c r="D360" s="235" t="s">
        <v>98</v>
      </c>
      <c r="E360" s="236"/>
      <c r="F360" s="236"/>
      <c r="G360" s="237">
        <f ca="1">'MATRIZ COMPLETO PROPOSTA'!H360</f>
        <v>866080.35678472172</v>
      </c>
      <c r="H360" s="237"/>
      <c r="I360" s="237"/>
      <c r="J360" s="237"/>
      <c r="K360" s="237">
        <f t="shared" ca="1" si="19"/>
        <v>866080.35678472172</v>
      </c>
      <c r="L360" s="236"/>
      <c r="M360" s="237">
        <f>'MATRIZ COMPLETO PROPOSTA'!BD360+
 'MATRIZ COMPLETO PROPOSTA'!BA360+
 'MATRIZ COMPLETO PROPOSTA'!AX360+
 'MATRIZ COMPLETO PROPOSTA'!AS360+
 'MATRIZ COMPLETO PROPOSTA'!AM360</f>
        <v>326219.2817439842</v>
      </c>
      <c r="N360" s="236"/>
      <c r="O360" s="237"/>
      <c r="P360" s="236"/>
      <c r="Q360" s="243"/>
    </row>
    <row r="361" spans="2:17" x14ac:dyDescent="0.3">
      <c r="B361" s="230" t="s">
        <v>469</v>
      </c>
      <c r="C361" s="230" t="s">
        <v>476</v>
      </c>
      <c r="D361" s="230" t="s">
        <v>98</v>
      </c>
      <c r="G361" s="200">
        <f ca="1">'MATRIZ COMPLETO PROPOSTA'!H361</f>
        <v>563731.60626197432</v>
      </c>
      <c r="H361" s="200"/>
      <c r="I361" s="200"/>
      <c r="J361" s="200"/>
      <c r="K361" s="200">
        <f t="shared" ca="1" si="19"/>
        <v>563731.60626197432</v>
      </c>
      <c r="M361" s="200">
        <f>'MATRIZ COMPLETO PROPOSTA'!BD361+
 'MATRIZ COMPLETO PROPOSTA'!BA361+
 'MATRIZ COMPLETO PROPOSTA'!AX361+
 'MATRIZ COMPLETO PROPOSTA'!AS361+
 'MATRIZ COMPLETO PROPOSTA'!AM361</f>
        <v>212632.33255638008</v>
      </c>
      <c r="O361" s="200"/>
      <c r="Q361" s="240"/>
    </row>
    <row r="362" spans="2:17" x14ac:dyDescent="0.3">
      <c r="B362" s="235" t="s">
        <v>469</v>
      </c>
      <c r="C362" s="235" t="s">
        <v>477</v>
      </c>
      <c r="D362" s="235" t="s">
        <v>94</v>
      </c>
      <c r="E362" s="236"/>
      <c r="F362" s="236"/>
      <c r="G362" s="237">
        <f ca="1">'MATRIZ COMPLETO PROPOSTA'!H362</f>
        <v>1238803.5785071796</v>
      </c>
      <c r="H362" s="237"/>
      <c r="I362" s="237"/>
      <c r="J362" s="237"/>
      <c r="K362" s="237">
        <f t="shared" ca="1" si="19"/>
        <v>1238803.5785071796</v>
      </c>
      <c r="L362" s="236"/>
      <c r="M362" s="237">
        <f>'MATRIZ COMPLETO PROPOSTA'!BD362+
 'MATRIZ COMPLETO PROPOSTA'!BA362+
 'MATRIZ COMPLETO PROPOSTA'!AX362+
 'MATRIZ COMPLETO PROPOSTA'!AS362+
 'MATRIZ COMPLETO PROPOSTA'!AM362</f>
        <v>393814.75127936085</v>
      </c>
      <c r="N362" s="236"/>
      <c r="O362" s="237"/>
      <c r="P362" s="236"/>
      <c r="Q362" s="243"/>
    </row>
    <row r="363" spans="2:17" x14ac:dyDescent="0.3">
      <c r="B363" s="230" t="s">
        <v>469</v>
      </c>
      <c r="C363" s="230" t="s">
        <v>478</v>
      </c>
      <c r="D363" s="230" t="s">
        <v>92</v>
      </c>
      <c r="G363" s="200">
        <f ca="1">'MATRIZ COMPLETO PROPOSTA'!H363</f>
        <v>3093272.9674062319</v>
      </c>
      <c r="H363" s="200"/>
      <c r="I363" s="200"/>
      <c r="J363" s="200"/>
      <c r="K363" s="200">
        <f t="shared" ca="1" si="19"/>
        <v>3093272.9674062319</v>
      </c>
      <c r="M363" s="200">
        <f>'MATRIZ COMPLETO PROPOSTA'!BD363+
 'MATRIZ COMPLETO PROPOSTA'!BA363+
 'MATRIZ COMPLETO PROPOSTA'!AX363+
 'MATRIZ COMPLETO PROPOSTA'!AS363+
 'MATRIZ COMPLETO PROPOSTA'!AM363</f>
        <v>1411365.5009828242</v>
      </c>
      <c r="O363" s="200"/>
      <c r="Q363" s="240"/>
    </row>
    <row r="364" spans="2:17" x14ac:dyDescent="0.3">
      <c r="B364" s="235" t="s">
        <v>469</v>
      </c>
      <c r="C364" s="235" t="s">
        <v>479</v>
      </c>
      <c r="D364" s="235" t="s">
        <v>92</v>
      </c>
      <c r="E364" s="236"/>
      <c r="F364" s="236"/>
      <c r="G364" s="237">
        <f ca="1">'MATRIZ COMPLETO PROPOSTA'!H364</f>
        <v>3227524.5777794239</v>
      </c>
      <c r="H364" s="237"/>
      <c r="I364" s="237"/>
      <c r="J364" s="237"/>
      <c r="K364" s="237">
        <f t="shared" ca="1" si="19"/>
        <v>3227524.5777794239</v>
      </c>
      <c r="L364" s="236"/>
      <c r="M364" s="237">
        <f>'MATRIZ COMPLETO PROPOSTA'!BD364+
 'MATRIZ COMPLETO PROPOSTA'!BA364+
 'MATRIZ COMPLETO PROPOSTA'!AX364+
 'MATRIZ COMPLETO PROPOSTA'!AS364+
 'MATRIZ COMPLETO PROPOSTA'!AM364</f>
        <v>1157500.1642487382</v>
      </c>
      <c r="N364" s="236"/>
      <c r="O364" s="237"/>
      <c r="P364" s="236"/>
      <c r="Q364" s="243"/>
    </row>
    <row r="365" spans="2:17" x14ac:dyDescent="0.3">
      <c r="B365" s="230" t="s">
        <v>469</v>
      </c>
      <c r="C365" s="230" t="s">
        <v>480</v>
      </c>
      <c r="D365" s="230" t="s">
        <v>92</v>
      </c>
      <c r="G365" s="200">
        <f ca="1">'MATRIZ COMPLETO PROPOSTA'!H365</f>
        <v>3288256.2018444273</v>
      </c>
      <c r="H365" s="200"/>
      <c r="I365" s="200"/>
      <c r="J365" s="200"/>
      <c r="K365" s="200">
        <f t="shared" ca="1" si="19"/>
        <v>3288256.2018444273</v>
      </c>
      <c r="M365" s="200">
        <f>'MATRIZ COMPLETO PROPOSTA'!BD365+
 'MATRIZ COMPLETO PROPOSTA'!BA365+
 'MATRIZ COMPLETO PROPOSTA'!AX365+
 'MATRIZ COMPLETO PROPOSTA'!AS365+
 'MATRIZ COMPLETO PROPOSTA'!AM365</f>
        <v>1040437.4911468963</v>
      </c>
      <c r="O365" s="200"/>
      <c r="Q365" s="240"/>
    </row>
    <row r="366" spans="2:17" x14ac:dyDescent="0.3">
      <c r="B366" s="235" t="s">
        <v>469</v>
      </c>
      <c r="C366" s="235" t="s">
        <v>481</v>
      </c>
      <c r="D366" s="235" t="s">
        <v>94</v>
      </c>
      <c r="E366" s="236"/>
      <c r="F366" s="236"/>
      <c r="G366" s="237">
        <f ca="1">'MATRIZ COMPLETO PROPOSTA'!H366</f>
        <v>7381327.1457521636</v>
      </c>
      <c r="H366" s="237"/>
      <c r="I366" s="237"/>
      <c r="J366" s="237"/>
      <c r="K366" s="237">
        <f t="shared" ca="1" si="19"/>
        <v>7381327.1457521636</v>
      </c>
      <c r="L366" s="236"/>
      <c r="M366" s="237">
        <f>'MATRIZ COMPLETO PROPOSTA'!BD366+
 'MATRIZ COMPLETO PROPOSTA'!BA366+
 'MATRIZ COMPLETO PROPOSTA'!AX366+
 'MATRIZ COMPLETO PROPOSTA'!AS366+
 'MATRIZ COMPLETO PROPOSTA'!AM366</f>
        <v>1612452.7563626487</v>
      </c>
      <c r="N366" s="236"/>
      <c r="O366" s="237"/>
      <c r="P366" s="236"/>
      <c r="Q366" s="243"/>
    </row>
    <row r="367" spans="2:17" x14ac:dyDescent="0.3">
      <c r="B367" s="230" t="s">
        <v>469</v>
      </c>
      <c r="C367" s="230" t="s">
        <v>482</v>
      </c>
      <c r="D367" s="230" t="s">
        <v>94</v>
      </c>
      <c r="G367" s="200">
        <f ca="1">'MATRIZ COMPLETO PROPOSTA'!H367</f>
        <v>2011681.5623377175</v>
      </c>
      <c r="H367" s="200"/>
      <c r="I367" s="200"/>
      <c r="J367" s="200"/>
      <c r="K367" s="200">
        <f t="shared" ca="1" si="19"/>
        <v>2011681.5623377175</v>
      </c>
      <c r="M367" s="200">
        <f>'MATRIZ COMPLETO PROPOSTA'!BD367+
 'MATRIZ COMPLETO PROPOSTA'!BA367+
 'MATRIZ COMPLETO PROPOSTA'!AX367+
 'MATRIZ COMPLETO PROPOSTA'!AS367+
 'MATRIZ COMPLETO PROPOSTA'!AM367</f>
        <v>494583.74240844336</v>
      </c>
      <c r="O367" s="200"/>
      <c r="Q367" s="240"/>
    </row>
    <row r="368" spans="2:17" x14ac:dyDescent="0.3">
      <c r="B368" s="235" t="s">
        <v>469</v>
      </c>
      <c r="C368" s="235" t="s">
        <v>483</v>
      </c>
      <c r="D368" s="235" t="s">
        <v>92</v>
      </c>
      <c r="E368" s="236"/>
      <c r="F368" s="236"/>
      <c r="G368" s="237">
        <f ca="1">'MATRIZ COMPLETO PROPOSTA'!H368</f>
        <v>2700107.2558437963</v>
      </c>
      <c r="H368" s="237"/>
      <c r="I368" s="237"/>
      <c r="J368" s="237"/>
      <c r="K368" s="237">
        <f t="shared" ca="1" si="19"/>
        <v>2700107.2558437963</v>
      </c>
      <c r="L368" s="236"/>
      <c r="M368" s="237">
        <f>'MATRIZ COMPLETO PROPOSTA'!BD368+
 'MATRIZ COMPLETO PROPOSTA'!BA368+
 'MATRIZ COMPLETO PROPOSTA'!AX368+
 'MATRIZ COMPLETO PROPOSTA'!AS368+
 'MATRIZ COMPLETO PROPOSTA'!AM368</f>
        <v>1386724.1665919526</v>
      </c>
      <c r="N368" s="236"/>
      <c r="O368" s="237"/>
      <c r="P368" s="236"/>
      <c r="Q368" s="243"/>
    </row>
    <row r="369" spans="2:17" x14ac:dyDescent="0.3">
      <c r="B369" s="230" t="s">
        <v>469</v>
      </c>
      <c r="C369" s="230" t="s">
        <v>484</v>
      </c>
      <c r="D369" s="230" t="s">
        <v>94</v>
      </c>
      <c r="G369" s="200">
        <f ca="1">'MATRIZ COMPLETO PROPOSTA'!H369</f>
        <v>2044302.1829947282</v>
      </c>
      <c r="H369" s="200"/>
      <c r="I369" s="200"/>
      <c r="J369" s="200"/>
      <c r="K369" s="200">
        <f t="shared" ca="1" si="19"/>
        <v>2044302.1829947282</v>
      </c>
      <c r="M369" s="200">
        <f>'MATRIZ COMPLETO PROPOSTA'!BD369+
 'MATRIZ COMPLETO PROPOSTA'!BA369+
 'MATRIZ COMPLETO PROPOSTA'!AX369+
 'MATRIZ COMPLETO PROPOSTA'!AS369+
 'MATRIZ COMPLETO PROPOSTA'!AM369</f>
        <v>804515.00663743925</v>
      </c>
      <c r="O369" s="200"/>
      <c r="Q369" s="240"/>
    </row>
    <row r="370" spans="2:17" x14ac:dyDescent="0.3">
      <c r="B370" s="235" t="s">
        <v>469</v>
      </c>
      <c r="C370" s="235" t="s">
        <v>485</v>
      </c>
      <c r="D370" s="235" t="s">
        <v>94</v>
      </c>
      <c r="E370" s="236"/>
      <c r="F370" s="236"/>
      <c r="G370" s="237">
        <f ca="1">'MATRIZ COMPLETO PROPOSTA'!H370</f>
        <v>2917670.9792879946</v>
      </c>
      <c r="H370" s="237"/>
      <c r="I370" s="237"/>
      <c r="J370" s="237"/>
      <c r="K370" s="237">
        <f t="shared" ca="1" si="19"/>
        <v>2917670.9792879946</v>
      </c>
      <c r="L370" s="236"/>
      <c r="M370" s="237">
        <f>'MATRIZ COMPLETO PROPOSTA'!BD370+
 'MATRIZ COMPLETO PROPOSTA'!BA370+
 'MATRIZ COMPLETO PROPOSTA'!AX370+
 'MATRIZ COMPLETO PROPOSTA'!AS370+
 'MATRIZ COMPLETO PROPOSTA'!AM370</f>
        <v>1072084.0070600933</v>
      </c>
      <c r="N370" s="236"/>
      <c r="O370" s="237"/>
      <c r="P370" s="236"/>
      <c r="Q370" s="243"/>
    </row>
    <row r="371" spans="2:17" x14ac:dyDescent="0.3">
      <c r="B371" s="230" t="s">
        <v>469</v>
      </c>
      <c r="C371" s="230" t="s">
        <v>486</v>
      </c>
      <c r="D371" s="230" t="s">
        <v>94</v>
      </c>
      <c r="G371" s="200">
        <f ca="1">'MATRIZ COMPLETO PROPOSTA'!H371</f>
        <v>1724715.8261321431</v>
      </c>
      <c r="H371" s="200"/>
      <c r="I371" s="200"/>
      <c r="J371" s="200"/>
      <c r="K371" s="200">
        <f t="shared" ca="1" si="19"/>
        <v>1724715.8261321431</v>
      </c>
      <c r="M371" s="200">
        <f>'MATRIZ COMPLETO PROPOSTA'!BD371+
 'MATRIZ COMPLETO PROPOSTA'!BA371+
 'MATRIZ COMPLETO PROPOSTA'!AX371+
 'MATRIZ COMPLETO PROPOSTA'!AS371+
 'MATRIZ COMPLETO PROPOSTA'!AM371</f>
        <v>576394.54674207629</v>
      </c>
      <c r="O371" s="200"/>
      <c r="Q371" s="240"/>
    </row>
    <row r="372" spans="2:17" x14ac:dyDescent="0.3">
      <c r="B372" s="235" t="s">
        <v>469</v>
      </c>
      <c r="C372" s="235" t="s">
        <v>487</v>
      </c>
      <c r="D372" s="235" t="s">
        <v>92</v>
      </c>
      <c r="E372" s="236"/>
      <c r="F372" s="236"/>
      <c r="G372" s="237">
        <f ca="1">'MATRIZ COMPLETO PROPOSTA'!H372</f>
        <v>4921140.7967908811</v>
      </c>
      <c r="H372" s="237"/>
      <c r="I372" s="237"/>
      <c r="J372" s="237"/>
      <c r="K372" s="237">
        <f t="shared" ca="1" si="19"/>
        <v>4921140.7967908811</v>
      </c>
      <c r="L372" s="236"/>
      <c r="M372" s="237">
        <f>'MATRIZ COMPLETO PROPOSTA'!BD372+
 'MATRIZ COMPLETO PROPOSTA'!BA372+
 'MATRIZ COMPLETO PROPOSTA'!AX372+
 'MATRIZ COMPLETO PROPOSTA'!AS372+
 'MATRIZ COMPLETO PROPOSTA'!AM372</f>
        <v>3287071.7646923256</v>
      </c>
      <c r="N372" s="236"/>
      <c r="O372" s="237"/>
      <c r="P372" s="236"/>
      <c r="Q372" s="243"/>
    </row>
    <row r="373" spans="2:17" x14ac:dyDescent="0.3">
      <c r="B373" s="230" t="s">
        <v>469</v>
      </c>
      <c r="C373" s="230" t="s">
        <v>488</v>
      </c>
      <c r="D373" s="230" t="s">
        <v>94</v>
      </c>
      <c r="G373" s="200">
        <f ca="1">'MATRIZ COMPLETO PROPOSTA'!H373</f>
        <v>2865966.9834508002</v>
      </c>
      <c r="H373" s="200"/>
      <c r="I373" s="200"/>
      <c r="J373" s="200"/>
      <c r="K373" s="200">
        <f t="shared" ca="1" si="19"/>
        <v>2865966.9834508002</v>
      </c>
      <c r="M373" s="200">
        <f>'MATRIZ COMPLETO PROPOSTA'!BD373+
 'MATRIZ COMPLETO PROPOSTA'!BA373+
 'MATRIZ COMPLETO PROPOSTA'!AX373+
 'MATRIZ COMPLETO PROPOSTA'!AS373+
 'MATRIZ COMPLETO PROPOSTA'!AM373</f>
        <v>546550.44815118727</v>
      </c>
      <c r="O373" s="200"/>
      <c r="Q373" s="240"/>
    </row>
    <row r="374" spans="2:17" x14ac:dyDescent="0.3">
      <c r="B374" s="235" t="s">
        <v>469</v>
      </c>
      <c r="C374" s="235" t="s">
        <v>489</v>
      </c>
      <c r="D374" s="235" t="s">
        <v>94</v>
      </c>
      <c r="E374" s="236"/>
      <c r="F374" s="236"/>
      <c r="G374" s="237">
        <f ca="1">'MATRIZ COMPLETO PROPOSTA'!H374</f>
        <v>1491337.3571697052</v>
      </c>
      <c r="H374" s="237"/>
      <c r="I374" s="237"/>
      <c r="J374" s="237"/>
      <c r="K374" s="237">
        <f t="shared" ca="1" si="19"/>
        <v>1491337.3571697052</v>
      </c>
      <c r="L374" s="236"/>
      <c r="M374" s="237">
        <f>'MATRIZ COMPLETO PROPOSTA'!BD374+
 'MATRIZ COMPLETO PROPOSTA'!BA374+
 'MATRIZ COMPLETO PROPOSTA'!AX374+
 'MATRIZ COMPLETO PROPOSTA'!AS374+
 'MATRIZ COMPLETO PROPOSTA'!AM374</f>
        <v>499394.76165675803</v>
      </c>
      <c r="N374" s="236"/>
      <c r="O374" s="237"/>
      <c r="P374" s="236"/>
      <c r="Q374" s="243"/>
    </row>
    <row r="375" spans="2:17" x14ac:dyDescent="0.3">
      <c r="G375" s="200"/>
      <c r="H375" s="200"/>
      <c r="I375" s="200"/>
      <c r="J375" s="200"/>
      <c r="K375" s="200"/>
      <c r="M375" s="200"/>
      <c r="O375" s="200"/>
      <c r="Q375" s="240"/>
    </row>
    <row r="376" spans="2:17" x14ac:dyDescent="0.3">
      <c r="B376" s="231" t="s">
        <v>490</v>
      </c>
      <c r="C376" s="231" t="s">
        <v>491</v>
      </c>
      <c r="D376" s="232" t="s">
        <v>154</v>
      </c>
      <c r="E376" s="232"/>
      <c r="F376" s="232"/>
      <c r="G376" s="238">
        <f ca="1">SUM(G377:G395)</f>
        <v>39313223.890497476</v>
      </c>
      <c r="H376" s="238">
        <f>'MATRIZ COMPLETO PROPOSTA'!Y376</f>
        <v>1125139.3085688085</v>
      </c>
      <c r="I376" s="238">
        <f>'MATRIZ COMPLETO PROPOSTA'!AA376</f>
        <v>443574.27713629429</v>
      </c>
      <c r="J376" s="238">
        <f>'MATRIZ COMPLETO PROPOSTA'!AC376</f>
        <v>3257040.6728463219</v>
      </c>
      <c r="K376" s="238">
        <f ca="1">SUM(G376:J376)</f>
        <v>44138978.149048902</v>
      </c>
      <c r="L376" s="232"/>
      <c r="M376" s="238">
        <f>SUM(M377:M395)</f>
        <v>14485175.62717424</v>
      </c>
      <c r="N376" s="232"/>
      <c r="O376" s="238">
        <f ca="1">K376*'DADOS BASE'!$I$22</f>
        <v>66208.46722357336</v>
      </c>
      <c r="P376" s="232"/>
      <c r="Q376" s="241">
        <f ca="1">SUM(H376:J376)/K376</f>
        <v>0.10933090118796529</v>
      </c>
    </row>
    <row r="377" spans="2:17" x14ac:dyDescent="0.3">
      <c r="B377" s="233" t="s">
        <v>490</v>
      </c>
      <c r="C377" s="234" t="s">
        <v>156</v>
      </c>
      <c r="D377" s="234" t="s">
        <v>157</v>
      </c>
      <c r="E377" s="234"/>
      <c r="F377" s="234"/>
      <c r="G377" s="239">
        <f>('MATRIZ COMPLETO PROPOSTA'!L376+
  'MATRIZ COMPLETO PROPOSTA'!P376*0.25+
  'MATRIZ COMPLETO PROPOSTA'!S376*0.8)
 /
 ('MATRIZ COMPLETO PROPOSTA'!L11+
  'MATRIZ COMPLETO PROPOSTA'!P11*0.25+
  'MATRIZ COMPLETO PROPOSTA'!S11*0.8)
 *
 'DADOS BASE'!$J$93</f>
        <v>4368135.9878330519</v>
      </c>
      <c r="H377" s="239"/>
      <c r="I377" s="239"/>
      <c r="J377" s="239"/>
      <c r="K377" s="239">
        <f t="shared" ref="K377:K395" si="20">J377+I377+H377+G377</f>
        <v>4368135.9878330519</v>
      </c>
      <c r="L377" s="234"/>
      <c r="M377" s="239">
        <f>'MATRIZ COMPLETO PROPOSTA'!BD377+
 'MATRIZ COMPLETO PROPOSTA'!BA377+
 'MATRIZ COMPLETO PROPOSTA'!AX377+
 'MATRIZ COMPLETO PROPOSTA'!AS377+
 'MATRIZ COMPLETO PROPOSTA'!AM377</f>
        <v>0</v>
      </c>
      <c r="N377" s="234"/>
      <c r="O377" s="239"/>
      <c r="P377" s="234"/>
      <c r="Q377" s="242"/>
    </row>
    <row r="378" spans="2:17" x14ac:dyDescent="0.3">
      <c r="B378" s="235" t="s">
        <v>490</v>
      </c>
      <c r="C378" s="235" t="s">
        <v>492</v>
      </c>
      <c r="D378" s="235" t="s">
        <v>94</v>
      </c>
      <c r="E378" s="236"/>
      <c r="F378" s="236"/>
      <c r="G378" s="237">
        <f ca="1">'MATRIZ COMPLETO PROPOSTA'!H378</f>
        <v>2291860.2334263609</v>
      </c>
      <c r="H378" s="237"/>
      <c r="I378" s="237"/>
      <c r="J378" s="237"/>
      <c r="K378" s="237">
        <f t="shared" ca="1" si="20"/>
        <v>2291860.2334263609</v>
      </c>
      <c r="L378" s="236"/>
      <c r="M378" s="237">
        <f>'MATRIZ COMPLETO PROPOSTA'!BD378+
 'MATRIZ COMPLETO PROPOSTA'!BA378+
 'MATRIZ COMPLETO PROPOSTA'!AX378+
 'MATRIZ COMPLETO PROPOSTA'!AS378+
 'MATRIZ COMPLETO PROPOSTA'!AM378</f>
        <v>936200.08523335052</v>
      </c>
      <c r="N378" s="236"/>
      <c r="O378" s="237"/>
      <c r="P378" s="236"/>
      <c r="Q378" s="243"/>
    </row>
    <row r="379" spans="2:17" x14ac:dyDescent="0.3">
      <c r="B379" s="230" t="s">
        <v>490</v>
      </c>
      <c r="C379" s="230" t="s">
        <v>493</v>
      </c>
      <c r="D379" s="230" t="s">
        <v>94</v>
      </c>
      <c r="G379" s="200">
        <f ca="1">'MATRIZ COMPLETO PROPOSTA'!H379</f>
        <v>506947.99109366792</v>
      </c>
      <c r="H379" s="200"/>
      <c r="I379" s="200"/>
      <c r="J379" s="200"/>
      <c r="K379" s="200">
        <f t="shared" ca="1" si="20"/>
        <v>506947.99109366792</v>
      </c>
      <c r="M379" s="200">
        <f>'MATRIZ COMPLETO PROPOSTA'!BD379+
 'MATRIZ COMPLETO PROPOSTA'!BA379+
 'MATRIZ COMPLETO PROPOSTA'!AX379+
 'MATRIZ COMPLETO PROPOSTA'!AS379+
 'MATRIZ COMPLETO PROPOSTA'!AM379</f>
        <v>206135.53649868321</v>
      </c>
      <c r="O379" s="200"/>
      <c r="Q379" s="240"/>
    </row>
    <row r="380" spans="2:17" x14ac:dyDescent="0.3">
      <c r="B380" s="235" t="s">
        <v>490</v>
      </c>
      <c r="C380" s="235" t="s">
        <v>494</v>
      </c>
      <c r="D380" s="235" t="s">
        <v>94</v>
      </c>
      <c r="E380" s="236"/>
      <c r="F380" s="236"/>
      <c r="G380" s="237">
        <f ca="1">'MATRIZ COMPLETO PROPOSTA'!H380</f>
        <v>483593.04329980159</v>
      </c>
      <c r="H380" s="237"/>
      <c r="I380" s="237"/>
      <c r="J380" s="237"/>
      <c r="K380" s="237">
        <f t="shared" ca="1" si="20"/>
        <v>483593.04329980159</v>
      </c>
      <c r="L380" s="236"/>
      <c r="M380" s="237">
        <f>'MATRIZ COMPLETO PROPOSTA'!BD380+
 'MATRIZ COMPLETO PROPOSTA'!BA380+
 'MATRIZ COMPLETO PROPOSTA'!AX380+
 'MATRIZ COMPLETO PROPOSTA'!AS380+
 'MATRIZ COMPLETO PROPOSTA'!AM380</f>
        <v>224425.46325666032</v>
      </c>
      <c r="N380" s="236"/>
      <c r="O380" s="237"/>
      <c r="P380" s="236"/>
      <c r="Q380" s="243"/>
    </row>
    <row r="381" spans="2:17" x14ac:dyDescent="0.3">
      <c r="B381" s="230" t="s">
        <v>490</v>
      </c>
      <c r="C381" s="230" t="s">
        <v>495</v>
      </c>
      <c r="D381" s="230" t="s">
        <v>98</v>
      </c>
      <c r="G381" s="200">
        <f ca="1">'MATRIZ COMPLETO PROPOSTA'!H381</f>
        <v>170471.91521519196</v>
      </c>
      <c r="H381" s="200"/>
      <c r="I381" s="200"/>
      <c r="J381" s="200"/>
      <c r="K381" s="200">
        <f t="shared" ca="1" si="20"/>
        <v>170471.91521519196</v>
      </c>
      <c r="M381" s="200">
        <f>'MATRIZ COMPLETO PROPOSTA'!BD381+
 'MATRIZ COMPLETO PROPOSTA'!BA381+
 'MATRIZ COMPLETO PROPOSTA'!AX381+
 'MATRIZ COMPLETO PROPOSTA'!AS381+
 'MATRIZ COMPLETO PROPOSTA'!AM381</f>
        <v>79448.421978203492</v>
      </c>
      <c r="O381" s="200"/>
      <c r="Q381" s="240"/>
    </row>
    <row r="382" spans="2:17" x14ac:dyDescent="0.3">
      <c r="B382" s="235" t="s">
        <v>490</v>
      </c>
      <c r="C382" s="235" t="s">
        <v>496</v>
      </c>
      <c r="D382" s="235" t="s">
        <v>94</v>
      </c>
      <c r="E382" s="236"/>
      <c r="F382" s="236"/>
      <c r="G382" s="237">
        <f ca="1">'MATRIZ COMPLETO PROPOSTA'!H382</f>
        <v>7732308.9381209789</v>
      </c>
      <c r="H382" s="237"/>
      <c r="I382" s="237"/>
      <c r="J382" s="237"/>
      <c r="K382" s="237">
        <f t="shared" ca="1" si="20"/>
        <v>7732308.9381209789</v>
      </c>
      <c r="L382" s="236"/>
      <c r="M382" s="237">
        <f>'MATRIZ COMPLETO PROPOSTA'!BD382+
 'MATRIZ COMPLETO PROPOSTA'!BA382+
 'MATRIZ COMPLETO PROPOSTA'!AX382+
 'MATRIZ COMPLETO PROPOSTA'!AS382+
 'MATRIZ COMPLETO PROPOSTA'!AM382</f>
        <v>2596540.5470702858</v>
      </c>
      <c r="N382" s="236"/>
      <c r="O382" s="237"/>
      <c r="P382" s="236"/>
      <c r="Q382" s="243"/>
    </row>
    <row r="383" spans="2:17" x14ac:dyDescent="0.3">
      <c r="B383" s="230" t="s">
        <v>490</v>
      </c>
      <c r="C383" s="230" t="s">
        <v>497</v>
      </c>
      <c r="D383" s="230" t="s">
        <v>94</v>
      </c>
      <c r="G383" s="200">
        <f ca="1">'MATRIZ COMPLETO PROPOSTA'!H383</f>
        <v>3173966.51471837</v>
      </c>
      <c r="H383" s="200"/>
      <c r="I383" s="200"/>
      <c r="J383" s="200"/>
      <c r="K383" s="200">
        <f t="shared" ca="1" si="20"/>
        <v>3173966.51471837</v>
      </c>
      <c r="M383" s="200">
        <f>'MATRIZ COMPLETO PROPOSTA'!BD383+
 'MATRIZ COMPLETO PROPOSTA'!BA383+
 'MATRIZ COMPLETO PROPOSTA'!AX383+
 'MATRIZ COMPLETO PROPOSTA'!AS383+
 'MATRIZ COMPLETO PROPOSTA'!AM383</f>
        <v>1024271.8285412507</v>
      </c>
      <c r="O383" s="200"/>
      <c r="Q383" s="240"/>
    </row>
    <row r="384" spans="2:17" x14ac:dyDescent="0.3">
      <c r="B384" s="235" t="s">
        <v>490</v>
      </c>
      <c r="C384" s="235" t="s">
        <v>498</v>
      </c>
      <c r="D384" s="235" t="s">
        <v>94</v>
      </c>
      <c r="E384" s="236"/>
      <c r="F384" s="236"/>
      <c r="G384" s="237">
        <f ca="1">'MATRIZ COMPLETO PROPOSTA'!H384</f>
        <v>1777302.8873417492</v>
      </c>
      <c r="H384" s="237"/>
      <c r="I384" s="237"/>
      <c r="J384" s="237"/>
      <c r="K384" s="237">
        <f t="shared" ca="1" si="20"/>
        <v>1777302.8873417492</v>
      </c>
      <c r="L384" s="236"/>
      <c r="M384" s="237">
        <f>'MATRIZ COMPLETO PROPOSTA'!BD384+
 'MATRIZ COMPLETO PROPOSTA'!BA384+
 'MATRIZ COMPLETO PROPOSTA'!AX384+
 'MATRIZ COMPLETO PROPOSTA'!AS384+
 'MATRIZ COMPLETO PROPOSTA'!AM384</f>
        <v>621048.33931284212</v>
      </c>
      <c r="N384" s="236"/>
      <c r="O384" s="237"/>
      <c r="P384" s="236"/>
      <c r="Q384" s="243"/>
    </row>
    <row r="385" spans="2:17" x14ac:dyDescent="0.3">
      <c r="B385" s="230" t="s">
        <v>490</v>
      </c>
      <c r="C385" s="230" t="s">
        <v>499</v>
      </c>
      <c r="D385" s="230" t="s">
        <v>94</v>
      </c>
      <c r="G385" s="200">
        <f ca="1">'MATRIZ COMPLETO PROPOSTA'!H385</f>
        <v>482704.72798170516</v>
      </c>
      <c r="H385" s="200"/>
      <c r="I385" s="200"/>
      <c r="J385" s="200"/>
      <c r="K385" s="200">
        <f t="shared" ca="1" si="20"/>
        <v>482704.72798170516</v>
      </c>
      <c r="M385" s="200">
        <f>'MATRIZ COMPLETO PROPOSTA'!BD385+
 'MATRIZ COMPLETO PROPOSTA'!BA385+
 'MATRIZ COMPLETO PROPOSTA'!AX385+
 'MATRIZ COMPLETO PROPOSTA'!AS385+
 'MATRIZ COMPLETO PROPOSTA'!AM385</f>
        <v>184340.16426184878</v>
      </c>
      <c r="O385" s="200"/>
      <c r="Q385" s="240"/>
    </row>
    <row r="386" spans="2:17" x14ac:dyDescent="0.3">
      <c r="B386" s="235" t="s">
        <v>490</v>
      </c>
      <c r="C386" s="235" t="s">
        <v>500</v>
      </c>
      <c r="D386" s="235" t="s">
        <v>92</v>
      </c>
      <c r="E386" s="236"/>
      <c r="F386" s="236"/>
      <c r="G386" s="237">
        <f ca="1">'MATRIZ COMPLETO PROPOSTA'!H386</f>
        <v>3785713.3638046985</v>
      </c>
      <c r="H386" s="237"/>
      <c r="I386" s="237"/>
      <c r="J386" s="237"/>
      <c r="K386" s="237">
        <f t="shared" ca="1" si="20"/>
        <v>3785713.3638046985</v>
      </c>
      <c r="L386" s="236"/>
      <c r="M386" s="237">
        <f>'MATRIZ COMPLETO PROPOSTA'!BD386+
 'MATRIZ COMPLETO PROPOSTA'!BA386+
 'MATRIZ COMPLETO PROPOSTA'!AX386+
 'MATRIZ COMPLETO PROPOSTA'!AS386+
 'MATRIZ COMPLETO PROPOSTA'!AM386</f>
        <v>2107202.9526596214</v>
      </c>
      <c r="N386" s="236"/>
      <c r="O386" s="237"/>
      <c r="P386" s="236"/>
      <c r="Q386" s="243"/>
    </row>
    <row r="387" spans="2:17" x14ac:dyDescent="0.3">
      <c r="B387" s="230" t="s">
        <v>490</v>
      </c>
      <c r="C387" s="230" t="s">
        <v>501</v>
      </c>
      <c r="D387" s="230" t="s">
        <v>92</v>
      </c>
      <c r="G387" s="200">
        <f ca="1">'MATRIZ COMPLETO PROPOSTA'!H387</f>
        <v>1908807.3858337069</v>
      </c>
      <c r="H387" s="200"/>
      <c r="I387" s="200"/>
      <c r="J387" s="200"/>
      <c r="K387" s="200">
        <f t="shared" ca="1" si="20"/>
        <v>1908807.3858337069</v>
      </c>
      <c r="M387" s="200">
        <f>'MATRIZ COMPLETO PROPOSTA'!BD387+
 'MATRIZ COMPLETO PROPOSTA'!BA387+
 'MATRIZ COMPLETO PROPOSTA'!AX387+
 'MATRIZ COMPLETO PROPOSTA'!AS387+
 'MATRIZ COMPLETO PROPOSTA'!AM387</f>
        <v>553334.15517826402</v>
      </c>
      <c r="O387" s="200"/>
      <c r="Q387" s="240"/>
    </row>
    <row r="388" spans="2:17" x14ac:dyDescent="0.3">
      <c r="B388" s="235" t="s">
        <v>490</v>
      </c>
      <c r="C388" s="235" t="s">
        <v>502</v>
      </c>
      <c r="D388" s="235" t="s">
        <v>94</v>
      </c>
      <c r="E388" s="236"/>
      <c r="F388" s="236"/>
      <c r="G388" s="237">
        <f ca="1">'MATRIZ COMPLETO PROPOSTA'!H388</f>
        <v>1169048.4251245407</v>
      </c>
      <c r="H388" s="237"/>
      <c r="I388" s="237"/>
      <c r="J388" s="237"/>
      <c r="K388" s="237">
        <f t="shared" ca="1" si="20"/>
        <v>1169048.4251245407</v>
      </c>
      <c r="L388" s="236"/>
      <c r="M388" s="237">
        <f>'MATRIZ COMPLETO PROPOSTA'!BD388+
 'MATRIZ COMPLETO PROPOSTA'!BA388+
 'MATRIZ COMPLETO PROPOSTA'!AX388+
 'MATRIZ COMPLETO PROPOSTA'!AS388+
 'MATRIZ COMPLETO PROPOSTA'!AM388</f>
        <v>441675.3671807244</v>
      </c>
      <c r="N388" s="236"/>
      <c r="O388" s="237"/>
      <c r="P388" s="236"/>
      <c r="Q388" s="243"/>
    </row>
    <row r="389" spans="2:17" x14ac:dyDescent="0.3">
      <c r="B389" s="230" t="s">
        <v>490</v>
      </c>
      <c r="C389" s="230" t="s">
        <v>503</v>
      </c>
      <c r="D389" s="230" t="s">
        <v>94</v>
      </c>
      <c r="G389" s="200">
        <f ca="1">'MATRIZ COMPLETO PROPOSTA'!H389</f>
        <v>1297892.6236257495</v>
      </c>
      <c r="H389" s="200"/>
      <c r="I389" s="200"/>
      <c r="J389" s="200"/>
      <c r="K389" s="200">
        <f t="shared" ca="1" si="20"/>
        <v>1297892.6236257495</v>
      </c>
      <c r="M389" s="200">
        <f>'MATRIZ COMPLETO PROPOSTA'!BD389+
 'MATRIZ COMPLETO PROPOSTA'!BA389+
 'MATRIZ COMPLETO PROPOSTA'!AX389+
 'MATRIZ COMPLETO PROPOSTA'!AS389+
 'MATRIZ COMPLETO PROPOSTA'!AM389</f>
        <v>442848.01351635228</v>
      </c>
      <c r="O389" s="200"/>
      <c r="Q389" s="240"/>
    </row>
    <row r="390" spans="2:17" x14ac:dyDescent="0.3">
      <c r="B390" s="235" t="s">
        <v>490</v>
      </c>
      <c r="C390" s="235" t="s">
        <v>504</v>
      </c>
      <c r="D390" s="235" t="s">
        <v>92</v>
      </c>
      <c r="E390" s="236"/>
      <c r="F390" s="236"/>
      <c r="G390" s="237">
        <f ca="1">'MATRIZ COMPLETO PROPOSTA'!H390</f>
        <v>1909424.9036438144</v>
      </c>
      <c r="H390" s="237"/>
      <c r="I390" s="237"/>
      <c r="J390" s="237"/>
      <c r="K390" s="237">
        <f t="shared" ca="1" si="20"/>
        <v>1909424.9036438144</v>
      </c>
      <c r="L390" s="236"/>
      <c r="M390" s="237">
        <f>'MATRIZ COMPLETO PROPOSTA'!BD390+
 'MATRIZ COMPLETO PROPOSTA'!BA390+
 'MATRIZ COMPLETO PROPOSTA'!AX390+
 'MATRIZ COMPLETO PROPOSTA'!AS390+
 'MATRIZ COMPLETO PROPOSTA'!AM390</f>
        <v>2075667.7686338176</v>
      </c>
      <c r="N390" s="236"/>
      <c r="O390" s="237"/>
      <c r="P390" s="236"/>
      <c r="Q390" s="243"/>
    </row>
    <row r="391" spans="2:17" x14ac:dyDescent="0.3">
      <c r="B391" s="230" t="s">
        <v>490</v>
      </c>
      <c r="C391" s="230" t="s">
        <v>505</v>
      </c>
      <c r="D391" s="230" t="s">
        <v>94</v>
      </c>
      <c r="G391" s="200">
        <f ca="1">'MATRIZ COMPLETO PROPOSTA'!H391</f>
        <v>1085409.5644246771</v>
      </c>
      <c r="H391" s="200"/>
      <c r="I391" s="200"/>
      <c r="J391" s="200"/>
      <c r="K391" s="200">
        <f t="shared" ca="1" si="20"/>
        <v>1085409.5644246771</v>
      </c>
      <c r="M391" s="200">
        <f>'MATRIZ COMPLETO PROPOSTA'!BD391+
 'MATRIZ COMPLETO PROPOSTA'!BA391+
 'MATRIZ COMPLETO PROPOSTA'!AX391+
 'MATRIZ COMPLETO PROPOSTA'!AS391+
 'MATRIZ COMPLETO PROPOSTA'!AM391</f>
        <v>378933.78915572562</v>
      </c>
      <c r="O391" s="200"/>
      <c r="Q391" s="240"/>
    </row>
    <row r="392" spans="2:17" x14ac:dyDescent="0.3">
      <c r="B392" s="235" t="s">
        <v>490</v>
      </c>
      <c r="C392" s="235" t="s">
        <v>506</v>
      </c>
      <c r="D392" s="235" t="s">
        <v>94</v>
      </c>
      <c r="E392" s="236"/>
      <c r="F392" s="236"/>
      <c r="G392" s="237">
        <f ca="1">'MATRIZ COMPLETO PROPOSTA'!H392</f>
        <v>1272057.6980320548</v>
      </c>
      <c r="H392" s="237"/>
      <c r="I392" s="237"/>
      <c r="J392" s="237"/>
      <c r="K392" s="237">
        <f t="shared" ca="1" si="20"/>
        <v>1272057.6980320548</v>
      </c>
      <c r="L392" s="236"/>
      <c r="M392" s="237">
        <f>'MATRIZ COMPLETO PROPOSTA'!BD392+
 'MATRIZ COMPLETO PROPOSTA'!BA392+
 'MATRIZ COMPLETO PROPOSTA'!AX392+
 'MATRIZ COMPLETO PROPOSTA'!AS392+
 'MATRIZ COMPLETO PROPOSTA'!AM392</f>
        <v>675165.58485193888</v>
      </c>
      <c r="N392" s="236"/>
      <c r="O392" s="237"/>
      <c r="P392" s="236"/>
      <c r="Q392" s="243"/>
    </row>
    <row r="393" spans="2:17" x14ac:dyDescent="0.3">
      <c r="B393" s="230" t="s">
        <v>490</v>
      </c>
      <c r="C393" s="230" t="s">
        <v>507</v>
      </c>
      <c r="D393" s="230" t="s">
        <v>94</v>
      </c>
      <c r="G393" s="200">
        <f ca="1">'MATRIZ COMPLETO PROPOSTA'!H393</f>
        <v>1380059.5794770543</v>
      </c>
      <c r="H393" s="200"/>
      <c r="I393" s="200"/>
      <c r="J393" s="200"/>
      <c r="K393" s="200">
        <f t="shared" ca="1" si="20"/>
        <v>1380059.5794770543</v>
      </c>
      <c r="M393" s="200">
        <f>'MATRIZ COMPLETO PROPOSTA'!BD393+
 'MATRIZ COMPLETO PROPOSTA'!BA393+
 'MATRIZ COMPLETO PROPOSTA'!AX393+
 'MATRIZ COMPLETO PROPOSTA'!AS393+
 'MATRIZ COMPLETO PROPOSTA'!AM393</f>
        <v>428908.90763677994</v>
      </c>
      <c r="O393" s="200"/>
      <c r="Q393" s="240"/>
    </row>
    <row r="394" spans="2:17" x14ac:dyDescent="0.3">
      <c r="B394" s="235" t="s">
        <v>490</v>
      </c>
      <c r="C394" s="235" t="s">
        <v>508</v>
      </c>
      <c r="D394" s="235" t="s">
        <v>92</v>
      </c>
      <c r="E394" s="236"/>
      <c r="F394" s="236"/>
      <c r="G394" s="237">
        <f ca="1">'MATRIZ COMPLETO PROPOSTA'!H394</f>
        <v>1674999.5082693305</v>
      </c>
      <c r="H394" s="237"/>
      <c r="I394" s="237"/>
      <c r="J394" s="237"/>
      <c r="K394" s="237">
        <f t="shared" ca="1" si="20"/>
        <v>1674999.5082693305</v>
      </c>
      <c r="L394" s="236"/>
      <c r="M394" s="237">
        <f>'MATRIZ COMPLETO PROPOSTA'!BD394+
 'MATRIZ COMPLETO PROPOSTA'!BA394+
 'MATRIZ COMPLETO PROPOSTA'!AX394+
 'MATRIZ COMPLETO PROPOSTA'!AS394+
 'MATRIZ COMPLETO PROPOSTA'!AM394</f>
        <v>526371.43316340982</v>
      </c>
      <c r="N394" s="236"/>
      <c r="O394" s="237"/>
      <c r="P394" s="236"/>
      <c r="Q394" s="243"/>
    </row>
    <row r="395" spans="2:17" x14ac:dyDescent="0.3">
      <c r="B395" s="230" t="s">
        <v>490</v>
      </c>
      <c r="C395" s="230" t="s">
        <v>509</v>
      </c>
      <c r="D395" s="230" t="s">
        <v>94</v>
      </c>
      <c r="G395" s="200">
        <f ca="1">'MATRIZ COMPLETO PROPOSTA'!H395</f>
        <v>2842518.599230967</v>
      </c>
      <c r="H395" s="200"/>
      <c r="I395" s="200"/>
      <c r="J395" s="200"/>
      <c r="K395" s="200">
        <f t="shared" ca="1" si="20"/>
        <v>2842518.599230967</v>
      </c>
      <c r="M395" s="200">
        <f>'MATRIZ COMPLETO PROPOSTA'!BD395+
 'MATRIZ COMPLETO PROPOSTA'!BA395+
 'MATRIZ COMPLETO PROPOSTA'!AX395+
 'MATRIZ COMPLETO PROPOSTA'!AS395+
 'MATRIZ COMPLETO PROPOSTA'!AM395</f>
        <v>982657.2690444804</v>
      </c>
      <c r="O395" s="200"/>
      <c r="Q395" s="240"/>
    </row>
    <row r="396" spans="2:17" x14ac:dyDescent="0.3">
      <c r="G396" s="200"/>
      <c r="H396" s="200"/>
      <c r="I396" s="200"/>
      <c r="J396" s="200"/>
      <c r="K396" s="200"/>
      <c r="M396" s="200"/>
      <c r="O396" s="200"/>
      <c r="Q396" s="240"/>
    </row>
    <row r="397" spans="2:17" x14ac:dyDescent="0.3">
      <c r="B397" s="231" t="s">
        <v>510</v>
      </c>
      <c r="C397" s="231" t="s">
        <v>511</v>
      </c>
      <c r="D397" s="232" t="s">
        <v>154</v>
      </c>
      <c r="E397" s="232"/>
      <c r="F397" s="232"/>
      <c r="G397" s="238">
        <f ca="1">SUM(G398:G419)</f>
        <v>52414819.803963527</v>
      </c>
      <c r="H397" s="238">
        <f>'MATRIZ COMPLETO PROPOSTA'!Y397</f>
        <v>281093.86663497728</v>
      </c>
      <c r="I397" s="238">
        <f>'MATRIZ COMPLETO PROPOSTA'!AA397</f>
        <v>1801425.5782841993</v>
      </c>
      <c r="J397" s="238">
        <f>'MATRIZ COMPLETO PROPOSTA'!AC397</f>
        <v>206800.14413894725</v>
      </c>
      <c r="K397" s="238">
        <f ca="1">SUM(G397:J397)</f>
        <v>54704139.393021651</v>
      </c>
      <c r="L397" s="232"/>
      <c r="M397" s="238">
        <f>SUM(M398:M419)</f>
        <v>18412548.253669538</v>
      </c>
      <c r="N397" s="232"/>
      <c r="O397" s="238">
        <f ca="1">K397*'DADOS BASE'!$I$22</f>
        <v>82056.20908953248</v>
      </c>
      <c r="P397" s="232"/>
      <c r="Q397" s="241">
        <f ca="1">SUM(H397:J397)/K397</f>
        <v>4.1849110770402903E-2</v>
      </c>
    </row>
    <row r="398" spans="2:17" x14ac:dyDescent="0.3">
      <c r="B398" s="233" t="s">
        <v>510</v>
      </c>
      <c r="C398" s="234" t="s">
        <v>156</v>
      </c>
      <c r="D398" s="234" t="s">
        <v>157</v>
      </c>
      <c r="E398" s="234"/>
      <c r="F398" s="234"/>
      <c r="G398" s="239">
        <f>('MATRIZ COMPLETO PROPOSTA'!L397+
  'MATRIZ COMPLETO PROPOSTA'!P397*0.25+
  'MATRIZ COMPLETO PROPOSTA'!S397*0.8)
 /
 ('MATRIZ COMPLETO PROPOSTA'!L11+
  'MATRIZ COMPLETO PROPOSTA'!P11*0.25+
  'MATRIZ COMPLETO PROPOSTA'!S11*0.8)
 *
 'DADOS BASE'!$J$93</f>
        <v>5709309.4874238158</v>
      </c>
      <c r="H398" s="239"/>
      <c r="I398" s="239"/>
      <c r="J398" s="239"/>
      <c r="K398" s="239">
        <f t="shared" ref="K398:K419" si="21">J398+I398+H398+G398</f>
        <v>5709309.4874238158</v>
      </c>
      <c r="L398" s="234"/>
      <c r="M398" s="239">
        <f>'MATRIZ COMPLETO PROPOSTA'!BD398+
 'MATRIZ COMPLETO PROPOSTA'!BA398+
 'MATRIZ COMPLETO PROPOSTA'!AX398+
 'MATRIZ COMPLETO PROPOSTA'!AS398+
 'MATRIZ COMPLETO PROPOSTA'!AM398</f>
        <v>0</v>
      </c>
      <c r="N398" s="234"/>
      <c r="O398" s="239"/>
      <c r="P398" s="234"/>
      <c r="Q398" s="242"/>
    </row>
    <row r="399" spans="2:17" x14ac:dyDescent="0.3">
      <c r="B399" s="230" t="s">
        <v>510</v>
      </c>
      <c r="C399" s="230" t="s">
        <v>512</v>
      </c>
      <c r="D399" s="230" t="s">
        <v>98</v>
      </c>
      <c r="G399" s="200">
        <f ca="1">'MATRIZ COMPLETO PROPOSTA'!H399</f>
        <v>700000</v>
      </c>
      <c r="H399" s="200"/>
      <c r="I399" s="200"/>
      <c r="J399" s="200"/>
      <c r="K399" s="200">
        <f t="shared" ca="1" si="21"/>
        <v>700000</v>
      </c>
      <c r="M399" s="200">
        <f>'MATRIZ COMPLETO PROPOSTA'!BD399+
 'MATRIZ COMPLETO PROPOSTA'!BA399+
 'MATRIZ COMPLETO PROPOSTA'!AX399+
 'MATRIZ COMPLETO PROPOSTA'!AS399+
 'MATRIZ COMPLETO PROPOSTA'!AM399</f>
        <v>86273.261273714394</v>
      </c>
      <c r="O399" s="200"/>
      <c r="Q399" s="240"/>
    </row>
    <row r="400" spans="2:17" x14ac:dyDescent="0.3">
      <c r="B400" s="235" t="s">
        <v>510</v>
      </c>
      <c r="C400" s="235" t="s">
        <v>513</v>
      </c>
      <c r="D400" s="235" t="s">
        <v>98</v>
      </c>
      <c r="E400" s="236"/>
      <c r="F400" s="236"/>
      <c r="G400" s="237">
        <f ca="1">'MATRIZ COMPLETO PROPOSTA'!H400</f>
        <v>431319.0274988694</v>
      </c>
      <c r="H400" s="237"/>
      <c r="I400" s="237"/>
      <c r="J400" s="237"/>
      <c r="K400" s="237">
        <f t="shared" ca="1" si="21"/>
        <v>431319.0274988694</v>
      </c>
      <c r="L400" s="236"/>
      <c r="M400" s="237">
        <f>'MATRIZ COMPLETO PROPOSTA'!BD400+
 'MATRIZ COMPLETO PROPOSTA'!BA400+
 'MATRIZ COMPLETO PROPOSTA'!AX400+
 'MATRIZ COMPLETO PROPOSTA'!AS400+
 'MATRIZ COMPLETO PROPOSTA'!AM400</f>
        <v>277379.06251007423</v>
      </c>
      <c r="N400" s="236"/>
      <c r="O400" s="237"/>
      <c r="P400" s="236"/>
      <c r="Q400" s="243"/>
    </row>
    <row r="401" spans="2:17" x14ac:dyDescent="0.3">
      <c r="B401" s="230" t="s">
        <v>510</v>
      </c>
      <c r="C401" s="230" t="s">
        <v>514</v>
      </c>
      <c r="D401" s="230" t="s">
        <v>98</v>
      </c>
      <c r="G401" s="200">
        <f ca="1">'MATRIZ COMPLETO PROPOSTA'!H401</f>
        <v>136296.94726199904</v>
      </c>
      <c r="H401" s="200"/>
      <c r="I401" s="200"/>
      <c r="J401" s="200"/>
      <c r="K401" s="200">
        <f t="shared" ca="1" si="21"/>
        <v>136296.94726199904</v>
      </c>
      <c r="M401" s="200">
        <f>'MATRIZ COMPLETO PROPOSTA'!BD401+
 'MATRIZ COMPLETO PROPOSTA'!BA401+
 'MATRIZ COMPLETO PROPOSTA'!AX401+
 'MATRIZ COMPLETO PROPOSTA'!AS401+
 'MATRIZ COMPLETO PROPOSTA'!AM401</f>
        <v>72574.804534413197</v>
      </c>
      <c r="O401" s="200"/>
      <c r="Q401" s="240"/>
    </row>
    <row r="402" spans="2:17" x14ac:dyDescent="0.3">
      <c r="B402" s="235" t="s">
        <v>510</v>
      </c>
      <c r="C402" s="235" t="s">
        <v>515</v>
      </c>
      <c r="D402" s="235" t="s">
        <v>98</v>
      </c>
      <c r="E402" s="236"/>
      <c r="F402" s="236"/>
      <c r="G402" s="237">
        <f ca="1">'MATRIZ COMPLETO PROPOSTA'!H402</f>
        <v>700000</v>
      </c>
      <c r="H402" s="237"/>
      <c r="I402" s="237"/>
      <c r="J402" s="237"/>
      <c r="K402" s="237">
        <f t="shared" ca="1" si="21"/>
        <v>700000</v>
      </c>
      <c r="L402" s="236"/>
      <c r="M402" s="237">
        <f>'MATRIZ COMPLETO PROPOSTA'!BD402+
 'MATRIZ COMPLETO PROPOSTA'!BA402+
 'MATRIZ COMPLETO PROPOSTA'!AX402+
 'MATRIZ COMPLETO PROPOSTA'!AS402+
 'MATRIZ COMPLETO PROPOSTA'!AM402</f>
        <v>114562.94639558626</v>
      </c>
      <c r="N402" s="236"/>
      <c r="O402" s="237"/>
      <c r="P402" s="236"/>
      <c r="Q402" s="243"/>
    </row>
    <row r="403" spans="2:17" x14ac:dyDescent="0.3">
      <c r="B403" s="230" t="s">
        <v>510</v>
      </c>
      <c r="C403" s="230" t="s">
        <v>516</v>
      </c>
      <c r="D403" s="230" t="s">
        <v>98</v>
      </c>
      <c r="G403" s="200">
        <f ca="1">'MATRIZ COMPLETO PROPOSTA'!H403</f>
        <v>89458.33506882425</v>
      </c>
      <c r="H403" s="200"/>
      <c r="I403" s="200"/>
      <c r="J403" s="200"/>
      <c r="K403" s="200">
        <f t="shared" ca="1" si="21"/>
        <v>89458.33506882425</v>
      </c>
      <c r="M403" s="200">
        <f>'MATRIZ COMPLETO PROPOSTA'!BD403+
 'MATRIZ COMPLETO PROPOSTA'!BA403+
 'MATRIZ COMPLETO PROPOSTA'!AX403+
 'MATRIZ COMPLETO PROPOSTA'!AS403+
 'MATRIZ COMPLETO PROPOSTA'!AM403</f>
        <v>56829.863741274981</v>
      </c>
      <c r="O403" s="200"/>
      <c r="Q403" s="240"/>
    </row>
    <row r="404" spans="2:17" x14ac:dyDescent="0.3">
      <c r="B404" s="235" t="s">
        <v>510</v>
      </c>
      <c r="C404" s="235" t="s">
        <v>517</v>
      </c>
      <c r="D404" s="235" t="s">
        <v>94</v>
      </c>
      <c r="E404" s="236"/>
      <c r="F404" s="236"/>
      <c r="G404" s="237">
        <f ca="1">'MATRIZ COMPLETO PROPOSTA'!H404</f>
        <v>2836194.8787821066</v>
      </c>
      <c r="H404" s="237"/>
      <c r="I404" s="237"/>
      <c r="J404" s="237"/>
      <c r="K404" s="237">
        <f t="shared" ca="1" si="21"/>
        <v>2836194.8787821066</v>
      </c>
      <c r="L404" s="236"/>
      <c r="M404" s="237">
        <f>'MATRIZ COMPLETO PROPOSTA'!BD404+
 'MATRIZ COMPLETO PROPOSTA'!BA404+
 'MATRIZ COMPLETO PROPOSTA'!AX404+
 'MATRIZ COMPLETO PROPOSTA'!AS404+
 'MATRIZ COMPLETO PROPOSTA'!AM404</f>
        <v>1015118.5747733694</v>
      </c>
      <c r="N404" s="236"/>
      <c r="O404" s="237"/>
      <c r="P404" s="236"/>
      <c r="Q404" s="243"/>
    </row>
    <row r="405" spans="2:17" x14ac:dyDescent="0.3">
      <c r="B405" s="230" t="s">
        <v>510</v>
      </c>
      <c r="C405" s="230" t="s">
        <v>518</v>
      </c>
      <c r="D405" s="230" t="s">
        <v>94</v>
      </c>
      <c r="G405" s="200">
        <f ca="1">'MATRIZ COMPLETO PROPOSTA'!H405</f>
        <v>3995593.6642915495</v>
      </c>
      <c r="H405" s="200"/>
      <c r="I405" s="200"/>
      <c r="J405" s="200"/>
      <c r="K405" s="200">
        <f t="shared" ca="1" si="21"/>
        <v>3995593.6642915495</v>
      </c>
      <c r="M405" s="200">
        <f>'MATRIZ COMPLETO PROPOSTA'!BD405+
 'MATRIZ COMPLETO PROPOSTA'!BA405+
 'MATRIZ COMPLETO PROPOSTA'!AX405+
 'MATRIZ COMPLETO PROPOSTA'!AS405+
 'MATRIZ COMPLETO PROPOSTA'!AM405</f>
        <v>1586034.7959961863</v>
      </c>
      <c r="O405" s="200"/>
      <c r="Q405" s="240"/>
    </row>
    <row r="406" spans="2:17" x14ac:dyDescent="0.3">
      <c r="B406" s="235" t="s">
        <v>510</v>
      </c>
      <c r="C406" s="235" t="s">
        <v>519</v>
      </c>
      <c r="D406" s="235" t="s">
        <v>94</v>
      </c>
      <c r="E406" s="236"/>
      <c r="F406" s="236"/>
      <c r="G406" s="237">
        <f ca="1">'MATRIZ COMPLETO PROPOSTA'!H406</f>
        <v>7882910.7027536677</v>
      </c>
      <c r="H406" s="237"/>
      <c r="I406" s="237"/>
      <c r="J406" s="237"/>
      <c r="K406" s="237">
        <f t="shared" ca="1" si="21"/>
        <v>7882910.7027536677</v>
      </c>
      <c r="L406" s="236"/>
      <c r="M406" s="237">
        <f>'MATRIZ COMPLETO PROPOSTA'!BD406+
 'MATRIZ COMPLETO PROPOSTA'!BA406+
 'MATRIZ COMPLETO PROPOSTA'!AX406+
 'MATRIZ COMPLETO PROPOSTA'!AS406+
 'MATRIZ COMPLETO PROPOSTA'!AM406</f>
        <v>2842096.1688019531</v>
      </c>
      <c r="N406" s="236"/>
      <c r="O406" s="237"/>
      <c r="P406" s="236"/>
      <c r="Q406" s="243"/>
    </row>
    <row r="407" spans="2:17" x14ac:dyDescent="0.3">
      <c r="B407" s="230" t="s">
        <v>510</v>
      </c>
      <c r="C407" s="230" t="s">
        <v>520</v>
      </c>
      <c r="D407" s="230" t="s">
        <v>94</v>
      </c>
      <c r="G407" s="200">
        <f ca="1">'MATRIZ COMPLETO PROPOSTA'!H407</f>
        <v>1078043.7392780413</v>
      </c>
      <c r="H407" s="200"/>
      <c r="I407" s="200"/>
      <c r="J407" s="200"/>
      <c r="K407" s="200">
        <f t="shared" ca="1" si="21"/>
        <v>1078043.7392780413</v>
      </c>
      <c r="M407" s="200">
        <f>'MATRIZ COMPLETO PROPOSTA'!BD407+
 'MATRIZ COMPLETO PROPOSTA'!BA407+
 'MATRIZ COMPLETO PROPOSTA'!AX407+
 'MATRIZ COMPLETO PROPOSTA'!AS407+
 'MATRIZ COMPLETO PROPOSTA'!AM407</f>
        <v>464504.51717468328</v>
      </c>
      <c r="O407" s="200"/>
      <c r="Q407" s="240"/>
    </row>
    <row r="408" spans="2:17" x14ac:dyDescent="0.3">
      <c r="B408" s="235" t="s">
        <v>510</v>
      </c>
      <c r="C408" s="235" t="s">
        <v>521</v>
      </c>
      <c r="D408" s="235" t="s">
        <v>94</v>
      </c>
      <c r="E408" s="236"/>
      <c r="F408" s="236"/>
      <c r="G408" s="237">
        <f ca="1">'MATRIZ COMPLETO PROPOSTA'!H408</f>
        <v>666192.06269154267</v>
      </c>
      <c r="H408" s="237"/>
      <c r="I408" s="237"/>
      <c r="J408" s="237"/>
      <c r="K408" s="237">
        <f t="shared" ca="1" si="21"/>
        <v>666192.06269154267</v>
      </c>
      <c r="L408" s="236"/>
      <c r="M408" s="237">
        <f>'MATRIZ COMPLETO PROPOSTA'!BD408+
 'MATRIZ COMPLETO PROPOSTA'!BA408+
 'MATRIZ COMPLETO PROPOSTA'!AX408+
 'MATRIZ COMPLETO PROPOSTA'!AS408+
 'MATRIZ COMPLETO PROPOSTA'!AM408</f>
        <v>338309.27043930732</v>
      </c>
      <c r="N408" s="236"/>
      <c r="O408" s="237"/>
      <c r="P408" s="236"/>
      <c r="Q408" s="243"/>
    </row>
    <row r="409" spans="2:17" x14ac:dyDescent="0.3">
      <c r="B409" s="230" t="s">
        <v>510</v>
      </c>
      <c r="C409" s="230" t="s">
        <v>522</v>
      </c>
      <c r="D409" s="230" t="s">
        <v>94</v>
      </c>
      <c r="G409" s="200">
        <f ca="1">'MATRIZ COMPLETO PROPOSTA'!H409</f>
        <v>933678.81112916477</v>
      </c>
      <c r="H409" s="200"/>
      <c r="I409" s="200"/>
      <c r="J409" s="200"/>
      <c r="K409" s="200">
        <f t="shared" ca="1" si="21"/>
        <v>933678.81112916477</v>
      </c>
      <c r="M409" s="200">
        <f>'MATRIZ COMPLETO PROPOSTA'!BD409+
 'MATRIZ COMPLETO PROPOSTA'!BA409+
 'MATRIZ COMPLETO PROPOSTA'!AX409+
 'MATRIZ COMPLETO PROPOSTA'!AS409+
 'MATRIZ COMPLETO PROPOSTA'!AM409</f>
        <v>542307.63428727002</v>
      </c>
      <c r="O409" s="200"/>
      <c r="Q409" s="240"/>
    </row>
    <row r="410" spans="2:17" x14ac:dyDescent="0.3">
      <c r="B410" s="235" t="s">
        <v>510</v>
      </c>
      <c r="C410" s="235" t="s">
        <v>523</v>
      </c>
      <c r="D410" s="235" t="s">
        <v>94</v>
      </c>
      <c r="E410" s="236"/>
      <c r="F410" s="236"/>
      <c r="G410" s="237">
        <f ca="1">'MATRIZ COMPLETO PROPOSTA'!H410</f>
        <v>1038886.784565802</v>
      </c>
      <c r="H410" s="237"/>
      <c r="I410" s="237"/>
      <c r="J410" s="237"/>
      <c r="K410" s="237">
        <f t="shared" ca="1" si="21"/>
        <v>1038886.784565802</v>
      </c>
      <c r="L410" s="236"/>
      <c r="M410" s="237">
        <f>'MATRIZ COMPLETO PROPOSTA'!BD410+
 'MATRIZ COMPLETO PROPOSTA'!BA410+
 'MATRIZ COMPLETO PROPOSTA'!AX410+
 'MATRIZ COMPLETO PROPOSTA'!AS410+
 'MATRIZ COMPLETO PROPOSTA'!AM410</f>
        <v>394103.67067279248</v>
      </c>
      <c r="N410" s="236"/>
      <c r="O410" s="237"/>
      <c r="P410" s="236"/>
      <c r="Q410" s="243"/>
    </row>
    <row r="411" spans="2:17" x14ac:dyDescent="0.3">
      <c r="B411" s="230" t="s">
        <v>510</v>
      </c>
      <c r="C411" s="230" t="s">
        <v>524</v>
      </c>
      <c r="D411" s="230" t="s">
        <v>94</v>
      </c>
      <c r="G411" s="200">
        <f ca="1">'MATRIZ COMPLETO PROPOSTA'!H411</f>
        <v>955529.57491842413</v>
      </c>
      <c r="H411" s="200"/>
      <c r="I411" s="200"/>
      <c r="J411" s="200"/>
      <c r="K411" s="200">
        <f t="shared" ca="1" si="21"/>
        <v>955529.57491842413</v>
      </c>
      <c r="M411" s="200">
        <f>'MATRIZ COMPLETO PROPOSTA'!BD411+
 'MATRIZ COMPLETO PROPOSTA'!BA411+
 'MATRIZ COMPLETO PROPOSTA'!AX411+
 'MATRIZ COMPLETO PROPOSTA'!AS411+
 'MATRIZ COMPLETO PROPOSTA'!AM411</f>
        <v>391724.84329135972</v>
      </c>
      <c r="O411" s="200"/>
      <c r="Q411" s="240"/>
    </row>
    <row r="412" spans="2:17" x14ac:dyDescent="0.3">
      <c r="B412" s="235" t="s">
        <v>510</v>
      </c>
      <c r="C412" s="235" t="s">
        <v>525</v>
      </c>
      <c r="D412" s="235" t="s">
        <v>94</v>
      </c>
      <c r="E412" s="236"/>
      <c r="F412" s="236"/>
      <c r="G412" s="237">
        <f ca="1">'MATRIZ COMPLETO PROPOSTA'!H412</f>
        <v>11404083.668029431</v>
      </c>
      <c r="H412" s="237"/>
      <c r="I412" s="237"/>
      <c r="J412" s="237"/>
      <c r="K412" s="237">
        <f t="shared" ca="1" si="21"/>
        <v>11404083.668029431</v>
      </c>
      <c r="L412" s="236"/>
      <c r="M412" s="237">
        <f>'MATRIZ COMPLETO PROPOSTA'!BD412+
 'MATRIZ COMPLETO PROPOSTA'!BA412+
 'MATRIZ COMPLETO PROPOSTA'!AX412+
 'MATRIZ COMPLETO PROPOSTA'!AS412+
 'MATRIZ COMPLETO PROPOSTA'!AM412</f>
        <v>4390012.2032686956</v>
      </c>
      <c r="N412" s="236"/>
      <c r="O412" s="237"/>
      <c r="P412" s="236"/>
      <c r="Q412" s="243"/>
    </row>
    <row r="413" spans="2:17" x14ac:dyDescent="0.3">
      <c r="B413" s="230" t="s">
        <v>510</v>
      </c>
      <c r="C413" s="230" t="s">
        <v>526</v>
      </c>
      <c r="D413" s="230" t="s">
        <v>94</v>
      </c>
      <c r="G413" s="200">
        <f ca="1">'MATRIZ COMPLETO PROPOSTA'!H413</f>
        <v>1577034.8808206439</v>
      </c>
      <c r="H413" s="200"/>
      <c r="I413" s="200"/>
      <c r="J413" s="200"/>
      <c r="K413" s="200">
        <f t="shared" ca="1" si="21"/>
        <v>1577034.8808206439</v>
      </c>
      <c r="M413" s="200">
        <f>'MATRIZ COMPLETO PROPOSTA'!BD413+
 'MATRIZ COMPLETO PROPOSTA'!BA413+
 'MATRIZ COMPLETO PROPOSTA'!AX413+
 'MATRIZ COMPLETO PROPOSTA'!AS413+
 'MATRIZ COMPLETO PROPOSTA'!AM413</f>
        <v>783168.61528332834</v>
      </c>
      <c r="O413" s="200"/>
      <c r="Q413" s="240"/>
    </row>
    <row r="414" spans="2:17" x14ac:dyDescent="0.3">
      <c r="B414" s="235" t="s">
        <v>510</v>
      </c>
      <c r="C414" s="235" t="s">
        <v>527</v>
      </c>
      <c r="D414" s="235" t="s">
        <v>94</v>
      </c>
      <c r="E414" s="236"/>
      <c r="F414" s="236"/>
      <c r="G414" s="237">
        <f ca="1">'MATRIZ COMPLETO PROPOSTA'!H414</f>
        <v>3044470.3169621741</v>
      </c>
      <c r="H414" s="237"/>
      <c r="I414" s="237"/>
      <c r="J414" s="237"/>
      <c r="K414" s="237">
        <f t="shared" ca="1" si="21"/>
        <v>3044470.3169621741</v>
      </c>
      <c r="L414" s="236"/>
      <c r="M414" s="237">
        <f>'MATRIZ COMPLETO PROPOSTA'!BD414+
 'MATRIZ COMPLETO PROPOSTA'!BA414+
 'MATRIZ COMPLETO PROPOSTA'!AX414+
 'MATRIZ COMPLETO PROPOSTA'!AS414+
 'MATRIZ COMPLETO PROPOSTA'!AM414</f>
        <v>1171887.3994041644</v>
      </c>
      <c r="N414" s="236"/>
      <c r="O414" s="237"/>
      <c r="P414" s="236"/>
      <c r="Q414" s="243"/>
    </row>
    <row r="415" spans="2:17" x14ac:dyDescent="0.3">
      <c r="B415" s="230" t="s">
        <v>510</v>
      </c>
      <c r="C415" s="230" t="s">
        <v>528</v>
      </c>
      <c r="D415" s="230" t="s">
        <v>94</v>
      </c>
      <c r="G415" s="200">
        <f ca="1">'MATRIZ COMPLETO PROPOSTA'!H415</f>
        <v>2425527.3619980472</v>
      </c>
      <c r="H415" s="200"/>
      <c r="I415" s="200"/>
      <c r="J415" s="200"/>
      <c r="K415" s="200">
        <f t="shared" ca="1" si="21"/>
        <v>2425527.3619980472</v>
      </c>
      <c r="M415" s="200">
        <f>'MATRIZ COMPLETO PROPOSTA'!BD415+
 'MATRIZ COMPLETO PROPOSTA'!BA415+
 'MATRIZ COMPLETO PROPOSTA'!AX415+
 'MATRIZ COMPLETO PROPOSTA'!AS415+
 'MATRIZ COMPLETO PROPOSTA'!AM415</f>
        <v>839707.43468317855</v>
      </c>
      <c r="O415" s="200"/>
      <c r="Q415" s="240"/>
    </row>
    <row r="416" spans="2:17" x14ac:dyDescent="0.3">
      <c r="B416" s="235" t="s">
        <v>510</v>
      </c>
      <c r="C416" s="235" t="s">
        <v>529</v>
      </c>
      <c r="D416" s="235" t="s">
        <v>94</v>
      </c>
      <c r="E416" s="236"/>
      <c r="F416" s="236"/>
      <c r="G416" s="237">
        <f ca="1">'MATRIZ COMPLETO PROPOSTA'!H416</f>
        <v>1391641.9123140411</v>
      </c>
      <c r="H416" s="237"/>
      <c r="I416" s="237"/>
      <c r="J416" s="237"/>
      <c r="K416" s="237">
        <f t="shared" ca="1" si="21"/>
        <v>1391641.9123140411</v>
      </c>
      <c r="L416" s="236"/>
      <c r="M416" s="237">
        <f>'MATRIZ COMPLETO PROPOSTA'!BD416+
 'MATRIZ COMPLETO PROPOSTA'!BA416+
 'MATRIZ COMPLETO PROPOSTA'!AX416+
 'MATRIZ COMPLETO PROPOSTA'!AS416+
 'MATRIZ COMPLETO PROPOSTA'!AM416</f>
        <v>672108.54341568938</v>
      </c>
      <c r="N416" s="236"/>
      <c r="O416" s="237"/>
      <c r="P416" s="236"/>
      <c r="Q416" s="243"/>
    </row>
    <row r="417" spans="2:17" x14ac:dyDescent="0.3">
      <c r="B417" s="230" t="s">
        <v>510</v>
      </c>
      <c r="C417" s="230" t="s">
        <v>410</v>
      </c>
      <c r="D417" s="230" t="s">
        <v>94</v>
      </c>
      <c r="G417" s="200">
        <f ca="1">'MATRIZ COMPLETO PROPOSTA'!H417</f>
        <v>438156.11183370202</v>
      </c>
      <c r="H417" s="200"/>
      <c r="I417" s="200"/>
      <c r="J417" s="200"/>
      <c r="K417" s="200">
        <f t="shared" ca="1" si="21"/>
        <v>438156.11183370202</v>
      </c>
      <c r="M417" s="200">
        <f>'MATRIZ COMPLETO PROPOSTA'!BD417+
 'MATRIZ COMPLETO PROPOSTA'!BA417+
 'MATRIZ COMPLETO PROPOSTA'!AX417+
 'MATRIZ COMPLETO PROPOSTA'!AS417+
 'MATRIZ COMPLETO PROPOSTA'!AM417</f>
        <v>230451.58921111724</v>
      </c>
      <c r="O417" s="200"/>
      <c r="Q417" s="240"/>
    </row>
    <row r="418" spans="2:17" x14ac:dyDescent="0.3">
      <c r="B418" s="235" t="s">
        <v>510</v>
      </c>
      <c r="C418" s="235" t="s">
        <v>530</v>
      </c>
      <c r="D418" s="235" t="s">
        <v>94</v>
      </c>
      <c r="E418" s="236"/>
      <c r="F418" s="236"/>
      <c r="G418" s="237">
        <f ca="1">'MATRIZ COMPLETO PROPOSTA'!H418</f>
        <v>609725.83769334992</v>
      </c>
      <c r="H418" s="237"/>
      <c r="I418" s="237"/>
      <c r="J418" s="237"/>
      <c r="K418" s="237">
        <f t="shared" ca="1" si="21"/>
        <v>609725.83769334992</v>
      </c>
      <c r="L418" s="236"/>
      <c r="M418" s="237">
        <f>'MATRIZ COMPLETO PROPOSTA'!BD418+
 'MATRIZ COMPLETO PROPOSTA'!BA418+
 'MATRIZ COMPLETO PROPOSTA'!AX418+
 'MATRIZ COMPLETO PROPOSTA'!AS418+
 'MATRIZ COMPLETO PROPOSTA'!AM418</f>
        <v>390146.40378386446</v>
      </c>
      <c r="N418" s="236"/>
      <c r="O418" s="237"/>
      <c r="P418" s="236"/>
      <c r="Q418" s="243"/>
    </row>
    <row r="419" spans="2:17" x14ac:dyDescent="0.3">
      <c r="B419" s="230" t="s">
        <v>510</v>
      </c>
      <c r="C419" s="230" t="s">
        <v>531</v>
      </c>
      <c r="D419" s="230" t="s">
        <v>92</v>
      </c>
      <c r="G419" s="200">
        <f ca="1">'MATRIZ COMPLETO PROPOSTA'!H419</f>
        <v>4370765.6986483373</v>
      </c>
      <c r="H419" s="200"/>
      <c r="I419" s="200"/>
      <c r="J419" s="200"/>
      <c r="K419" s="200">
        <f t="shared" ca="1" si="21"/>
        <v>4370765.6986483373</v>
      </c>
      <c r="M419" s="200">
        <f>'MATRIZ COMPLETO PROPOSTA'!BD419+
 'MATRIZ COMPLETO PROPOSTA'!BA419+
 'MATRIZ COMPLETO PROPOSTA'!AX419+
 'MATRIZ COMPLETO PROPOSTA'!AS419+
 'MATRIZ COMPLETO PROPOSTA'!AM419</f>
        <v>1753246.6507275107</v>
      </c>
      <c r="O419" s="200"/>
      <c r="Q419" s="240"/>
    </row>
    <row r="420" spans="2:17" x14ac:dyDescent="0.3">
      <c r="G420" s="200"/>
      <c r="H420" s="200"/>
      <c r="I420" s="200"/>
      <c r="J420" s="200"/>
      <c r="K420" s="200"/>
      <c r="M420" s="200"/>
      <c r="O420" s="200"/>
      <c r="Q420" s="240"/>
    </row>
    <row r="421" spans="2:17" x14ac:dyDescent="0.3">
      <c r="B421" s="231" t="s">
        <v>532</v>
      </c>
      <c r="C421" s="231" t="s">
        <v>533</v>
      </c>
      <c r="D421" s="232" t="s">
        <v>154</v>
      </c>
      <c r="E421" s="232"/>
      <c r="F421" s="232"/>
      <c r="G421" s="238">
        <f ca="1">SUM(G422:G438)</f>
        <v>37530428.728582695</v>
      </c>
      <c r="H421" s="238">
        <f>'MATRIZ COMPLETO PROPOSTA'!Y421</f>
        <v>256650.92171019668</v>
      </c>
      <c r="I421" s="238">
        <f>'MATRIZ COMPLETO PROPOSTA'!AA421</f>
        <v>1009940.575196584</v>
      </c>
      <c r="J421" s="238">
        <f>'MATRIZ COMPLETO PROPOSTA'!AC421</f>
        <v>2818347.5640587416</v>
      </c>
      <c r="K421" s="238">
        <f ca="1">SUM(G421:J421)</f>
        <v>41615367.789548218</v>
      </c>
      <c r="L421" s="232"/>
      <c r="M421" s="238">
        <f>SUM(M422:M438)</f>
        <v>12500573.926010473</v>
      </c>
      <c r="N421" s="232"/>
      <c r="O421" s="238">
        <f ca="1">K421*'DADOS BASE'!$I$22</f>
        <v>62423.05168432233</v>
      </c>
      <c r="P421" s="232"/>
      <c r="Q421" s="241">
        <f ca="1">SUM(H421:J421)/K421</f>
        <v>9.815938865717444E-2</v>
      </c>
    </row>
    <row r="422" spans="2:17" x14ac:dyDescent="0.3">
      <c r="B422" s="233" t="s">
        <v>532</v>
      </c>
      <c r="C422" s="234" t="s">
        <v>156</v>
      </c>
      <c r="D422" s="234" t="s">
        <v>157</v>
      </c>
      <c r="E422" s="234"/>
      <c r="F422" s="234"/>
      <c r="G422" s="239">
        <f>('MATRIZ COMPLETO PROPOSTA'!L421+
  'MATRIZ COMPLETO PROPOSTA'!P421*0.25+
  'MATRIZ COMPLETO PROPOSTA'!S421*0.8)
 /
 ('MATRIZ COMPLETO PROPOSTA'!L11+
  'MATRIZ COMPLETO PROPOSTA'!P11*0.25+
  'MATRIZ COMPLETO PROPOSTA'!S11*0.8)
 *
 'DADOS BASE'!$J$93</f>
        <v>4170047.6365091885</v>
      </c>
      <c r="H422" s="239"/>
      <c r="I422" s="239"/>
      <c r="J422" s="239"/>
      <c r="K422" s="239">
        <f t="shared" ref="K422:K438" si="22">J422+I422+H422+G422</f>
        <v>4170047.6365091885</v>
      </c>
      <c r="L422" s="234"/>
      <c r="M422" s="239">
        <f>'MATRIZ COMPLETO PROPOSTA'!BD422+
 'MATRIZ COMPLETO PROPOSTA'!BA422+
 'MATRIZ COMPLETO PROPOSTA'!AX422+
 'MATRIZ COMPLETO PROPOSTA'!AS422+
 'MATRIZ COMPLETO PROPOSTA'!AM422</f>
        <v>0</v>
      </c>
      <c r="N422" s="234"/>
      <c r="O422" s="239"/>
      <c r="P422" s="234"/>
      <c r="Q422" s="242"/>
    </row>
    <row r="423" spans="2:17" x14ac:dyDescent="0.3">
      <c r="B423" s="230" t="s">
        <v>532</v>
      </c>
      <c r="C423" s="230" t="s">
        <v>534</v>
      </c>
      <c r="D423" s="230" t="s">
        <v>94</v>
      </c>
      <c r="G423" s="200">
        <f ca="1">'MATRIZ COMPLETO PROPOSTA'!H423</f>
        <v>703125.57478311507</v>
      </c>
      <c r="H423" s="200"/>
      <c r="I423" s="200"/>
      <c r="J423" s="200"/>
      <c r="K423" s="200">
        <f t="shared" ca="1" si="22"/>
        <v>703125.57478311507</v>
      </c>
      <c r="M423" s="200">
        <f>'MATRIZ COMPLETO PROPOSTA'!BD423+
 'MATRIZ COMPLETO PROPOSTA'!BA423+
 'MATRIZ COMPLETO PROPOSTA'!AX423+
 'MATRIZ COMPLETO PROPOSTA'!AS423+
 'MATRIZ COMPLETO PROPOSTA'!AM423</f>
        <v>233601.25165727956</v>
      </c>
      <c r="O423" s="200"/>
      <c r="Q423" s="240"/>
    </row>
    <row r="424" spans="2:17" x14ac:dyDescent="0.3">
      <c r="B424" s="235" t="s">
        <v>532</v>
      </c>
      <c r="C424" s="235" t="s">
        <v>535</v>
      </c>
      <c r="D424" s="235" t="s">
        <v>94</v>
      </c>
      <c r="E424" s="236"/>
      <c r="F424" s="236"/>
      <c r="G424" s="237">
        <f ca="1">'MATRIZ COMPLETO PROPOSTA'!H424</f>
        <v>1387820.8918040842</v>
      </c>
      <c r="H424" s="237"/>
      <c r="I424" s="237"/>
      <c r="J424" s="237"/>
      <c r="K424" s="237">
        <f t="shared" ca="1" si="22"/>
        <v>1387820.8918040842</v>
      </c>
      <c r="L424" s="236"/>
      <c r="M424" s="237">
        <f>'MATRIZ COMPLETO PROPOSTA'!BD424+
 'MATRIZ COMPLETO PROPOSTA'!BA424+
 'MATRIZ COMPLETO PROPOSTA'!AX424+
 'MATRIZ COMPLETO PROPOSTA'!AS424+
 'MATRIZ COMPLETO PROPOSTA'!AM424</f>
        <v>538156.73299069656</v>
      </c>
      <c r="N424" s="236"/>
      <c r="O424" s="237"/>
      <c r="P424" s="236"/>
      <c r="Q424" s="243"/>
    </row>
    <row r="425" spans="2:17" x14ac:dyDescent="0.3">
      <c r="B425" s="230" t="s">
        <v>532</v>
      </c>
      <c r="C425" s="230" t="s">
        <v>536</v>
      </c>
      <c r="D425" s="230" t="s">
        <v>92</v>
      </c>
      <c r="G425" s="200">
        <f ca="1">'MATRIZ COMPLETO PROPOSTA'!H425</f>
        <v>2737871.6031939979</v>
      </c>
      <c r="H425" s="200"/>
      <c r="I425" s="200"/>
      <c r="J425" s="200"/>
      <c r="K425" s="200">
        <f t="shared" ca="1" si="22"/>
        <v>2737871.6031939979</v>
      </c>
      <c r="M425" s="200">
        <f>'MATRIZ COMPLETO PROPOSTA'!BD425+
 'MATRIZ COMPLETO PROPOSTA'!BA425+
 'MATRIZ COMPLETO PROPOSTA'!AX425+
 'MATRIZ COMPLETO PROPOSTA'!AS425+
 'MATRIZ COMPLETO PROPOSTA'!AM425</f>
        <v>1009946.3820189937</v>
      </c>
      <c r="O425" s="200"/>
      <c r="Q425" s="240"/>
    </row>
    <row r="426" spans="2:17" x14ac:dyDescent="0.3">
      <c r="B426" s="235" t="s">
        <v>532</v>
      </c>
      <c r="C426" s="235" t="s">
        <v>537</v>
      </c>
      <c r="D426" s="235" t="s">
        <v>92</v>
      </c>
      <c r="E426" s="236"/>
      <c r="F426" s="236"/>
      <c r="G426" s="237">
        <f ca="1">'MATRIZ COMPLETO PROPOSTA'!H426</f>
        <v>2641522.7735776287</v>
      </c>
      <c r="H426" s="237"/>
      <c r="I426" s="237"/>
      <c r="J426" s="237"/>
      <c r="K426" s="237">
        <f t="shared" ca="1" si="22"/>
        <v>2641522.7735776287</v>
      </c>
      <c r="L426" s="236"/>
      <c r="M426" s="237">
        <f>'MATRIZ COMPLETO PROPOSTA'!BD426+
 'MATRIZ COMPLETO PROPOSTA'!BA426+
 'MATRIZ COMPLETO PROPOSTA'!AX426+
 'MATRIZ COMPLETO PROPOSTA'!AS426+
 'MATRIZ COMPLETO PROPOSTA'!AM426</f>
        <v>1478368.1873237223</v>
      </c>
      <c r="N426" s="236"/>
      <c r="O426" s="237"/>
      <c r="P426" s="236"/>
      <c r="Q426" s="243"/>
    </row>
    <row r="427" spans="2:17" x14ac:dyDescent="0.3">
      <c r="B427" s="230" t="s">
        <v>532</v>
      </c>
      <c r="C427" s="230" t="s">
        <v>538</v>
      </c>
      <c r="D427" s="230" t="s">
        <v>94</v>
      </c>
      <c r="G427" s="200">
        <f ca="1">'MATRIZ COMPLETO PROPOSTA'!H427</f>
        <v>668450.35855986609</v>
      </c>
      <c r="H427" s="200"/>
      <c r="I427" s="200"/>
      <c r="J427" s="200"/>
      <c r="K427" s="200">
        <f t="shared" ca="1" si="22"/>
        <v>668450.35855986609</v>
      </c>
      <c r="M427" s="200">
        <f>'MATRIZ COMPLETO PROPOSTA'!BD427+
 'MATRIZ COMPLETO PROPOSTA'!BA427+
 'MATRIZ COMPLETO PROPOSTA'!AX427+
 'MATRIZ COMPLETO PROPOSTA'!AS427+
 'MATRIZ COMPLETO PROPOSTA'!AM427</f>
        <v>293930.13272381743</v>
      </c>
      <c r="O427" s="200"/>
      <c r="Q427" s="240"/>
    </row>
    <row r="428" spans="2:17" x14ac:dyDescent="0.3">
      <c r="B428" s="235" t="s">
        <v>532</v>
      </c>
      <c r="C428" s="235" t="s">
        <v>539</v>
      </c>
      <c r="D428" s="235" t="s">
        <v>94</v>
      </c>
      <c r="E428" s="236"/>
      <c r="F428" s="236"/>
      <c r="G428" s="237">
        <f ca="1">'MATRIZ COMPLETO PROPOSTA'!H428</f>
        <v>1830140.4082052377</v>
      </c>
      <c r="H428" s="237"/>
      <c r="I428" s="237"/>
      <c r="J428" s="237"/>
      <c r="K428" s="237">
        <f t="shared" ca="1" si="22"/>
        <v>1830140.4082052377</v>
      </c>
      <c r="L428" s="236"/>
      <c r="M428" s="237">
        <f>'MATRIZ COMPLETO PROPOSTA'!BD428+
 'MATRIZ COMPLETO PROPOSTA'!BA428+
 'MATRIZ COMPLETO PROPOSTA'!AX428+
 'MATRIZ COMPLETO PROPOSTA'!AS428+
 'MATRIZ COMPLETO PROPOSTA'!AM428</f>
        <v>514652.93047536397</v>
      </c>
      <c r="N428" s="236"/>
      <c r="O428" s="237"/>
      <c r="P428" s="236"/>
      <c r="Q428" s="243"/>
    </row>
    <row r="429" spans="2:17" x14ac:dyDescent="0.3">
      <c r="B429" s="230" t="s">
        <v>532</v>
      </c>
      <c r="C429" s="230" t="s">
        <v>540</v>
      </c>
      <c r="D429" s="230" t="s">
        <v>94</v>
      </c>
      <c r="G429" s="200">
        <f ca="1">'MATRIZ COMPLETO PROPOSTA'!H429</f>
        <v>2130785.5834837328</v>
      </c>
      <c r="H429" s="200"/>
      <c r="I429" s="200"/>
      <c r="J429" s="200"/>
      <c r="K429" s="200">
        <f t="shared" ca="1" si="22"/>
        <v>2130785.5834837328</v>
      </c>
      <c r="M429" s="200">
        <f>'MATRIZ COMPLETO PROPOSTA'!BD429+
 'MATRIZ COMPLETO PROPOSTA'!BA429+
 'MATRIZ COMPLETO PROPOSTA'!AX429+
 'MATRIZ COMPLETO PROPOSTA'!AS429+
 'MATRIZ COMPLETO PROPOSTA'!AM429</f>
        <v>871991.96633521223</v>
      </c>
      <c r="O429" s="200"/>
      <c r="Q429" s="240"/>
    </row>
    <row r="430" spans="2:17" x14ac:dyDescent="0.3">
      <c r="B430" s="235" t="s">
        <v>532</v>
      </c>
      <c r="C430" s="235" t="s">
        <v>541</v>
      </c>
      <c r="D430" s="235" t="s">
        <v>94</v>
      </c>
      <c r="E430" s="236"/>
      <c r="F430" s="236"/>
      <c r="G430" s="237">
        <f ca="1">'MATRIZ COMPLETO PROPOSTA'!H430</f>
        <v>601582.5666412405</v>
      </c>
      <c r="H430" s="237"/>
      <c r="I430" s="237"/>
      <c r="J430" s="237"/>
      <c r="K430" s="237">
        <f t="shared" ca="1" si="22"/>
        <v>601582.5666412405</v>
      </c>
      <c r="L430" s="236"/>
      <c r="M430" s="237">
        <f>'MATRIZ COMPLETO PROPOSTA'!BD430+
 'MATRIZ COMPLETO PROPOSTA'!BA430+
 'MATRIZ COMPLETO PROPOSTA'!AX430+
 'MATRIZ COMPLETO PROPOSTA'!AS430+
 'MATRIZ COMPLETO PROPOSTA'!AM430</f>
        <v>358180.54531386634</v>
      </c>
      <c r="N430" s="236"/>
      <c r="O430" s="237"/>
      <c r="P430" s="236"/>
      <c r="Q430" s="243"/>
    </row>
    <row r="431" spans="2:17" x14ac:dyDescent="0.3">
      <c r="B431" s="230" t="s">
        <v>532</v>
      </c>
      <c r="C431" s="230" t="s">
        <v>542</v>
      </c>
      <c r="D431" s="230" t="s">
        <v>94</v>
      </c>
      <c r="G431" s="200">
        <f ca="1">'MATRIZ COMPLETO PROPOSTA'!H431</f>
        <v>1800116.1468064773</v>
      </c>
      <c r="H431" s="200"/>
      <c r="I431" s="200"/>
      <c r="J431" s="200"/>
      <c r="K431" s="200">
        <f t="shared" ca="1" si="22"/>
        <v>1800116.1468064773</v>
      </c>
      <c r="M431" s="200">
        <f>'MATRIZ COMPLETO PROPOSTA'!BD431+
 'MATRIZ COMPLETO PROPOSTA'!BA431+
 'MATRIZ COMPLETO PROPOSTA'!AX431+
 'MATRIZ COMPLETO PROPOSTA'!AS431+
 'MATRIZ COMPLETO PROPOSTA'!AM431</f>
        <v>563493.4529596197</v>
      </c>
      <c r="O431" s="200"/>
      <c r="Q431" s="240"/>
    </row>
    <row r="432" spans="2:17" x14ac:dyDescent="0.3">
      <c r="B432" s="235" t="s">
        <v>532</v>
      </c>
      <c r="C432" s="235" t="s">
        <v>543</v>
      </c>
      <c r="D432" s="235" t="s">
        <v>94</v>
      </c>
      <c r="E432" s="236"/>
      <c r="F432" s="236"/>
      <c r="G432" s="237">
        <f ca="1">'MATRIZ COMPLETO PROPOSTA'!H432</f>
        <v>643283.40364482976</v>
      </c>
      <c r="H432" s="237"/>
      <c r="I432" s="237"/>
      <c r="J432" s="237"/>
      <c r="K432" s="237">
        <f t="shared" ca="1" si="22"/>
        <v>643283.40364482976</v>
      </c>
      <c r="L432" s="236"/>
      <c r="M432" s="237">
        <f>'MATRIZ COMPLETO PROPOSTA'!BD432+
 'MATRIZ COMPLETO PROPOSTA'!BA432+
 'MATRIZ COMPLETO PROPOSTA'!AX432+
 'MATRIZ COMPLETO PROPOSTA'!AS432+
 'MATRIZ COMPLETO PROPOSTA'!AM432</f>
        <v>323172.92577781674</v>
      </c>
      <c r="N432" s="236"/>
      <c r="O432" s="237"/>
      <c r="P432" s="236"/>
      <c r="Q432" s="243"/>
    </row>
    <row r="433" spans="2:17" x14ac:dyDescent="0.3">
      <c r="B433" s="230" t="s">
        <v>532</v>
      </c>
      <c r="C433" s="230" t="s">
        <v>544</v>
      </c>
      <c r="D433" s="230" t="s">
        <v>94</v>
      </c>
      <c r="G433" s="200">
        <f ca="1">'MATRIZ COMPLETO PROPOSTA'!H433</f>
        <v>576739.5410635476</v>
      </c>
      <c r="H433" s="200"/>
      <c r="I433" s="200"/>
      <c r="J433" s="200"/>
      <c r="K433" s="200">
        <f t="shared" ca="1" si="22"/>
        <v>576739.5410635476</v>
      </c>
      <c r="M433" s="200">
        <f>'MATRIZ COMPLETO PROPOSTA'!BD433+
 'MATRIZ COMPLETO PROPOSTA'!BA433+
 'MATRIZ COMPLETO PROPOSTA'!AX433+
 'MATRIZ COMPLETO PROPOSTA'!AS433+
 'MATRIZ COMPLETO PROPOSTA'!AM433</f>
        <v>186863.11419050451</v>
      </c>
      <c r="O433" s="200"/>
      <c r="Q433" s="240"/>
    </row>
    <row r="434" spans="2:17" x14ac:dyDescent="0.3">
      <c r="B434" s="235" t="s">
        <v>532</v>
      </c>
      <c r="C434" s="235" t="s">
        <v>545</v>
      </c>
      <c r="D434" s="235" t="s">
        <v>94</v>
      </c>
      <c r="E434" s="236"/>
      <c r="F434" s="236"/>
      <c r="G434" s="237">
        <f ca="1">'MATRIZ COMPLETO PROPOSTA'!H434</f>
        <v>331888.09112220944</v>
      </c>
      <c r="H434" s="237"/>
      <c r="I434" s="237"/>
      <c r="J434" s="237"/>
      <c r="K434" s="237">
        <f t="shared" ca="1" si="22"/>
        <v>331888.09112220944</v>
      </c>
      <c r="L434" s="236"/>
      <c r="M434" s="237">
        <f>'MATRIZ COMPLETO PROPOSTA'!BD434+
 'MATRIZ COMPLETO PROPOSTA'!BA434+
 'MATRIZ COMPLETO PROPOSTA'!AX434+
 'MATRIZ COMPLETO PROPOSTA'!AS434+
 'MATRIZ COMPLETO PROPOSTA'!AM434</f>
        <v>166081.89040442678</v>
      </c>
      <c r="N434" s="236"/>
      <c r="O434" s="237"/>
      <c r="P434" s="236"/>
      <c r="Q434" s="243"/>
    </row>
    <row r="435" spans="2:17" x14ac:dyDescent="0.3">
      <c r="B435" s="230" t="s">
        <v>532</v>
      </c>
      <c r="C435" s="230" t="s">
        <v>546</v>
      </c>
      <c r="D435" s="230" t="s">
        <v>94</v>
      </c>
      <c r="G435" s="200">
        <f ca="1">'MATRIZ COMPLETO PROPOSTA'!H435</f>
        <v>651190.74079520779</v>
      </c>
      <c r="H435" s="200"/>
      <c r="I435" s="200"/>
      <c r="J435" s="200"/>
      <c r="K435" s="200">
        <f t="shared" ca="1" si="22"/>
        <v>651190.74079520779</v>
      </c>
      <c r="M435" s="200">
        <f>'MATRIZ COMPLETO PROPOSTA'!BD435+
 'MATRIZ COMPLETO PROPOSTA'!BA435+
 'MATRIZ COMPLETO PROPOSTA'!AX435+
 'MATRIZ COMPLETO PROPOSTA'!AS435+
 'MATRIZ COMPLETO PROPOSTA'!AM435</f>
        <v>428312.19721069606</v>
      </c>
      <c r="O435" s="200"/>
      <c r="Q435" s="240"/>
    </row>
    <row r="436" spans="2:17" x14ac:dyDescent="0.3">
      <c r="B436" s="235" t="s">
        <v>532</v>
      </c>
      <c r="C436" s="235" t="s">
        <v>547</v>
      </c>
      <c r="D436" s="235" t="s">
        <v>94</v>
      </c>
      <c r="E436" s="236"/>
      <c r="F436" s="236"/>
      <c r="G436" s="237">
        <f ca="1">'MATRIZ COMPLETO PROPOSTA'!H436</f>
        <v>2173310.440783768</v>
      </c>
      <c r="H436" s="237"/>
      <c r="I436" s="237"/>
      <c r="J436" s="237"/>
      <c r="K436" s="237">
        <f t="shared" ca="1" si="22"/>
        <v>2173310.440783768</v>
      </c>
      <c r="L436" s="236"/>
      <c r="M436" s="237">
        <f>'MATRIZ COMPLETO PROPOSTA'!BD436+
 'MATRIZ COMPLETO PROPOSTA'!BA436+
 'MATRIZ COMPLETO PROPOSTA'!AX436+
 'MATRIZ COMPLETO PROPOSTA'!AS436+
 'MATRIZ COMPLETO PROPOSTA'!AM436</f>
        <v>733634.23336839024</v>
      </c>
      <c r="N436" s="236"/>
      <c r="O436" s="237"/>
      <c r="P436" s="236"/>
      <c r="Q436" s="243"/>
    </row>
    <row r="437" spans="2:17" x14ac:dyDescent="0.3">
      <c r="B437" s="230" t="s">
        <v>532</v>
      </c>
      <c r="C437" s="230" t="s">
        <v>548</v>
      </c>
      <c r="D437" s="230" t="s">
        <v>94</v>
      </c>
      <c r="G437" s="200">
        <f ca="1">'MATRIZ COMPLETO PROPOSTA'!H437</f>
        <v>9850192.301007919</v>
      </c>
      <c r="H437" s="200"/>
      <c r="I437" s="200"/>
      <c r="J437" s="200"/>
      <c r="K437" s="200">
        <f t="shared" ca="1" si="22"/>
        <v>9850192.301007919</v>
      </c>
      <c r="M437" s="200">
        <f>'MATRIZ COMPLETO PROPOSTA'!BD437+
 'MATRIZ COMPLETO PROPOSTA'!BA437+
 'MATRIZ COMPLETO PROPOSTA'!AX437+
 'MATRIZ COMPLETO PROPOSTA'!AS437+
 'MATRIZ COMPLETO PROPOSTA'!AM437</f>
        <v>3366013.1205195412</v>
      </c>
      <c r="O437" s="200"/>
      <c r="Q437" s="240"/>
    </row>
    <row r="438" spans="2:17" x14ac:dyDescent="0.3">
      <c r="B438" s="235" t="s">
        <v>532</v>
      </c>
      <c r="C438" s="235" t="s">
        <v>549</v>
      </c>
      <c r="D438" s="235" t="s">
        <v>92</v>
      </c>
      <c r="E438" s="236"/>
      <c r="F438" s="236"/>
      <c r="G438" s="237">
        <f ca="1">'MATRIZ COMPLETO PROPOSTA'!H438</f>
        <v>4632360.6666006455</v>
      </c>
      <c r="H438" s="237"/>
      <c r="I438" s="237"/>
      <c r="J438" s="237"/>
      <c r="K438" s="237">
        <f t="shared" ca="1" si="22"/>
        <v>4632360.6666006455</v>
      </c>
      <c r="L438" s="236"/>
      <c r="M438" s="237">
        <f>'MATRIZ COMPLETO PROPOSTA'!BD438+
 'MATRIZ COMPLETO PROPOSTA'!BA438+
 'MATRIZ COMPLETO PROPOSTA'!AX438+
 'MATRIZ COMPLETO PROPOSTA'!AS438+
 'MATRIZ COMPLETO PROPOSTA'!AM438</f>
        <v>1434174.8627405253</v>
      </c>
      <c r="N438" s="236"/>
      <c r="O438" s="237"/>
      <c r="P438" s="236"/>
      <c r="Q438" s="243"/>
    </row>
    <row r="439" spans="2:17" x14ac:dyDescent="0.3">
      <c r="G439" s="200"/>
      <c r="H439" s="200"/>
      <c r="I439" s="200"/>
      <c r="J439" s="200"/>
      <c r="K439" s="200"/>
      <c r="M439" s="200"/>
      <c r="O439" s="200"/>
      <c r="Q439" s="240"/>
    </row>
    <row r="440" spans="2:17" x14ac:dyDescent="0.3">
      <c r="B440" s="231" t="s">
        <v>532</v>
      </c>
      <c r="C440" s="231" t="s">
        <v>550</v>
      </c>
      <c r="D440" s="232" t="s">
        <v>154</v>
      </c>
      <c r="E440" s="232"/>
      <c r="F440" s="232"/>
      <c r="G440" s="238">
        <f ca="1">SUM(G441:G448)</f>
        <v>19771467.913355812</v>
      </c>
      <c r="H440" s="238">
        <f>'MATRIZ COMPLETO PROPOSTA'!Y440</f>
        <v>263525.49997029122</v>
      </c>
      <c r="I440" s="238">
        <f>'MATRIZ COMPLETO PROPOSTA'!AA440</f>
        <v>1346904.7256391768</v>
      </c>
      <c r="J440" s="238">
        <f>'MATRIZ COMPLETO PROPOSTA'!AC440</f>
        <v>3517491.5163716935</v>
      </c>
      <c r="K440" s="238">
        <f ca="1">SUM(G440:J440)</f>
        <v>24899389.655336972</v>
      </c>
      <c r="L440" s="232"/>
      <c r="M440" s="238">
        <f>SUM(M441:M448)</f>
        <v>6435920.5438536378</v>
      </c>
      <c r="N440" s="232"/>
      <c r="O440" s="238">
        <f ca="1">K440*'DADOS BASE'!$I$22</f>
        <v>37349.084483005456</v>
      </c>
      <c r="P440" s="232"/>
      <c r="Q440" s="241">
        <f ca="1">SUM(H440:J440)/K440</f>
        <v>0.20594568031437813</v>
      </c>
    </row>
    <row r="441" spans="2:17" x14ac:dyDescent="0.3">
      <c r="B441" s="233" t="s">
        <v>532</v>
      </c>
      <c r="C441" s="234" t="s">
        <v>156</v>
      </c>
      <c r="D441" s="234" t="s">
        <v>157</v>
      </c>
      <c r="E441" s="234"/>
      <c r="F441" s="234"/>
      <c r="G441" s="239">
        <f>('MATRIZ COMPLETO PROPOSTA'!L440+
  'MATRIZ COMPLETO PROPOSTA'!P440*0.25+
  'MATRIZ COMPLETO PROPOSTA'!S440*0.8)
 /
 ('MATRIZ COMPLETO PROPOSTA'!L11+
  'MATRIZ COMPLETO PROPOSTA'!P11*0.25+
  'MATRIZ COMPLETO PROPOSTA'!S11*0.8)
 *
 'DADOS BASE'!$J$93</f>
        <v>2196829.7681506458</v>
      </c>
      <c r="H441" s="239"/>
      <c r="I441" s="239"/>
      <c r="J441" s="239"/>
      <c r="K441" s="239">
        <f t="shared" ref="K441:K448" si="23">J441+I441+H441+G441</f>
        <v>2196829.7681506458</v>
      </c>
      <c r="L441" s="234"/>
      <c r="M441" s="239">
        <f>'MATRIZ COMPLETO PROPOSTA'!BD441+
 'MATRIZ COMPLETO PROPOSTA'!BA441+
 'MATRIZ COMPLETO PROPOSTA'!AX441+
 'MATRIZ COMPLETO PROPOSTA'!AS441+
 'MATRIZ COMPLETO PROPOSTA'!AM441</f>
        <v>0</v>
      </c>
      <c r="N441" s="234"/>
      <c r="O441" s="239"/>
      <c r="P441" s="234"/>
      <c r="Q441" s="242"/>
    </row>
    <row r="442" spans="2:17" x14ac:dyDescent="0.3">
      <c r="B442" s="235" t="s">
        <v>532</v>
      </c>
      <c r="C442" s="235" t="s">
        <v>551</v>
      </c>
      <c r="D442" s="235" t="s">
        <v>92</v>
      </c>
      <c r="E442" s="236"/>
      <c r="F442" s="236"/>
      <c r="G442" s="237">
        <f ca="1">'MATRIZ COMPLETO PROPOSTA'!H442</f>
        <v>2029591.4448723791</v>
      </c>
      <c r="H442" s="237"/>
      <c r="I442" s="237"/>
      <c r="J442" s="237"/>
      <c r="K442" s="237">
        <f t="shared" ca="1" si="23"/>
        <v>2029591.4448723791</v>
      </c>
      <c r="L442" s="236"/>
      <c r="M442" s="237">
        <f>'MATRIZ COMPLETO PROPOSTA'!BD442+
 'MATRIZ COMPLETO PROPOSTA'!BA442+
 'MATRIZ COMPLETO PROPOSTA'!AX442+
 'MATRIZ COMPLETO PROPOSTA'!AS442+
 'MATRIZ COMPLETO PROPOSTA'!AM442</f>
        <v>704835.91828420665</v>
      </c>
      <c r="N442" s="236"/>
      <c r="O442" s="237"/>
      <c r="P442" s="236"/>
      <c r="Q442" s="243"/>
    </row>
    <row r="443" spans="2:17" x14ac:dyDescent="0.3">
      <c r="B443" s="230" t="s">
        <v>532</v>
      </c>
      <c r="C443" s="230" t="s">
        <v>552</v>
      </c>
      <c r="D443" s="230" t="s">
        <v>92</v>
      </c>
      <c r="G443" s="200">
        <f ca="1">'MATRIZ COMPLETO PROPOSTA'!H443</f>
        <v>2164821.7593659703</v>
      </c>
      <c r="H443" s="200"/>
      <c r="I443" s="200"/>
      <c r="J443" s="200"/>
      <c r="K443" s="200">
        <f t="shared" ca="1" si="23"/>
        <v>2164821.7593659703</v>
      </c>
      <c r="M443" s="200">
        <f>'MATRIZ COMPLETO PROPOSTA'!BD443+
 'MATRIZ COMPLETO PROPOSTA'!BA443+
 'MATRIZ COMPLETO PROPOSTA'!AX443+
 'MATRIZ COMPLETO PROPOSTA'!AS443+
 'MATRIZ COMPLETO PROPOSTA'!AM443</f>
        <v>776132.66040273337</v>
      </c>
      <c r="O443" s="200"/>
      <c r="Q443" s="240"/>
    </row>
    <row r="444" spans="2:17" x14ac:dyDescent="0.3">
      <c r="B444" s="235" t="s">
        <v>532</v>
      </c>
      <c r="C444" s="235" t="s">
        <v>553</v>
      </c>
      <c r="D444" s="235" t="s">
        <v>94</v>
      </c>
      <c r="E444" s="236"/>
      <c r="F444" s="236"/>
      <c r="G444" s="237">
        <f ca="1">'MATRIZ COMPLETO PROPOSTA'!H444</f>
        <v>4605037.2148586493</v>
      </c>
      <c r="H444" s="237"/>
      <c r="I444" s="237"/>
      <c r="J444" s="237"/>
      <c r="K444" s="237">
        <f t="shared" ca="1" si="23"/>
        <v>4605037.2148586493</v>
      </c>
      <c r="L444" s="236"/>
      <c r="M444" s="237">
        <f>'MATRIZ COMPLETO PROPOSTA'!BD444+
 'MATRIZ COMPLETO PROPOSTA'!BA444+
 'MATRIZ COMPLETO PROPOSTA'!AX444+
 'MATRIZ COMPLETO PROPOSTA'!AS444+
 'MATRIZ COMPLETO PROPOSTA'!AM444</f>
        <v>1701765.4961564802</v>
      </c>
      <c r="N444" s="236"/>
      <c r="O444" s="237"/>
      <c r="P444" s="236"/>
      <c r="Q444" s="243"/>
    </row>
    <row r="445" spans="2:17" x14ac:dyDescent="0.3">
      <c r="B445" s="230" t="s">
        <v>532</v>
      </c>
      <c r="C445" s="230" t="s">
        <v>554</v>
      </c>
      <c r="D445" s="230" t="s">
        <v>92</v>
      </c>
      <c r="G445" s="200">
        <f ca="1">'MATRIZ COMPLETO PROPOSTA'!H445</f>
        <v>3713825.2955116713</v>
      </c>
      <c r="H445" s="200"/>
      <c r="I445" s="200"/>
      <c r="J445" s="200"/>
      <c r="K445" s="200">
        <f t="shared" ca="1" si="23"/>
        <v>3713825.2955116713</v>
      </c>
      <c r="M445" s="200">
        <f>'MATRIZ COMPLETO PROPOSTA'!BD445+
 'MATRIZ COMPLETO PROPOSTA'!BA445+
 'MATRIZ COMPLETO PROPOSTA'!AX445+
 'MATRIZ COMPLETO PROPOSTA'!AS445+
 'MATRIZ COMPLETO PROPOSTA'!AM445</f>
        <v>1398611.1021835555</v>
      </c>
      <c r="O445" s="200"/>
      <c r="Q445" s="240"/>
    </row>
    <row r="446" spans="2:17" x14ac:dyDescent="0.3">
      <c r="B446" s="235" t="s">
        <v>532</v>
      </c>
      <c r="C446" s="235" t="s">
        <v>555</v>
      </c>
      <c r="D446" s="235" t="s">
        <v>92</v>
      </c>
      <c r="E446" s="236"/>
      <c r="F446" s="236"/>
      <c r="G446" s="237">
        <f ca="1">'MATRIZ COMPLETO PROPOSTA'!H446</f>
        <v>2198647.2591778445</v>
      </c>
      <c r="H446" s="237"/>
      <c r="I446" s="237"/>
      <c r="J446" s="237"/>
      <c r="K446" s="237">
        <f t="shared" ca="1" si="23"/>
        <v>2198647.2591778445</v>
      </c>
      <c r="L446" s="236"/>
      <c r="M446" s="237">
        <f>'MATRIZ COMPLETO PROPOSTA'!BD446+
 'MATRIZ COMPLETO PROPOSTA'!BA446+
 'MATRIZ COMPLETO PROPOSTA'!AX446+
 'MATRIZ COMPLETO PROPOSTA'!AS446+
 'MATRIZ COMPLETO PROPOSTA'!AM446</f>
        <v>812161.65694165579</v>
      </c>
      <c r="N446" s="236"/>
      <c r="O446" s="237"/>
      <c r="P446" s="236"/>
      <c r="Q446" s="243"/>
    </row>
    <row r="447" spans="2:17" x14ac:dyDescent="0.3">
      <c r="B447" s="230" t="s">
        <v>532</v>
      </c>
      <c r="C447" s="230" t="s">
        <v>556</v>
      </c>
      <c r="D447" s="230" t="s">
        <v>92</v>
      </c>
      <c r="G447" s="200">
        <f ca="1">'MATRIZ COMPLETO PROPOSTA'!H447</f>
        <v>1367395.1707384665</v>
      </c>
      <c r="H447" s="200"/>
      <c r="I447" s="200"/>
      <c r="J447" s="200"/>
      <c r="K447" s="200">
        <f t="shared" ca="1" si="23"/>
        <v>1367395.1707384665</v>
      </c>
      <c r="M447" s="200">
        <f>'MATRIZ COMPLETO PROPOSTA'!BD447+
 'MATRIZ COMPLETO PROPOSTA'!BA447+
 'MATRIZ COMPLETO PROPOSTA'!AX447+
 'MATRIZ COMPLETO PROPOSTA'!AS447+
 'MATRIZ COMPLETO PROPOSTA'!AM447</f>
        <v>415243.84640865726</v>
      </c>
      <c r="O447" s="200"/>
      <c r="Q447" s="240"/>
    </row>
    <row r="448" spans="2:17" x14ac:dyDescent="0.3">
      <c r="B448" s="235" t="s">
        <v>532</v>
      </c>
      <c r="C448" s="235" t="s">
        <v>557</v>
      </c>
      <c r="D448" s="235" t="s">
        <v>94</v>
      </c>
      <c r="E448" s="236"/>
      <c r="F448" s="236"/>
      <c r="G448" s="237">
        <f ca="1">'MATRIZ COMPLETO PROPOSTA'!H448</f>
        <v>1495320.0006801873</v>
      </c>
      <c r="H448" s="237"/>
      <c r="I448" s="237"/>
      <c r="J448" s="237"/>
      <c r="K448" s="237">
        <f t="shared" ca="1" si="23"/>
        <v>1495320.0006801873</v>
      </c>
      <c r="L448" s="236"/>
      <c r="M448" s="237">
        <f>'MATRIZ COMPLETO PROPOSTA'!BD448+
 'MATRIZ COMPLETO PROPOSTA'!BA448+
 'MATRIZ COMPLETO PROPOSTA'!AX448+
 'MATRIZ COMPLETO PROPOSTA'!AS448+
 'MATRIZ COMPLETO PROPOSTA'!AM448</f>
        <v>627169.86347634823</v>
      </c>
      <c r="N448" s="236"/>
      <c r="O448" s="237"/>
      <c r="P448" s="236"/>
      <c r="Q448" s="243"/>
    </row>
    <row r="449" spans="2:17" x14ac:dyDescent="0.3">
      <c r="G449" s="200"/>
      <c r="H449" s="200"/>
      <c r="I449" s="200"/>
      <c r="J449" s="200"/>
      <c r="K449" s="200"/>
      <c r="M449" s="200"/>
      <c r="O449" s="200"/>
      <c r="Q449" s="240"/>
    </row>
    <row r="450" spans="2:17" x14ac:dyDescent="0.3">
      <c r="B450" s="231" t="s">
        <v>558</v>
      </c>
      <c r="C450" s="231" t="s">
        <v>559</v>
      </c>
      <c r="D450" s="232" t="s">
        <v>154</v>
      </c>
      <c r="E450" s="232"/>
      <c r="F450" s="232"/>
      <c r="G450" s="238">
        <f ca="1">SUM(G451:G471)</f>
        <v>45970344.304397047</v>
      </c>
      <c r="H450" s="238">
        <f>'MATRIZ COMPLETO PROPOSTA'!Y450</f>
        <v>1154929.147695885</v>
      </c>
      <c r="I450" s="238">
        <f>'MATRIZ COMPLETO PROPOSTA'!AA450</f>
        <v>1356423.4869511146</v>
      </c>
      <c r="J450" s="238">
        <f>'MATRIZ COMPLETO PROPOSTA'!AC450</f>
        <v>3092739.3474386921</v>
      </c>
      <c r="K450" s="238">
        <f ca="1">SUM(G450:J450)</f>
        <v>51574436.286482736</v>
      </c>
      <c r="L450" s="232"/>
      <c r="M450" s="238">
        <f>SUM(M451:M471)</f>
        <v>16586039.200080862</v>
      </c>
      <c r="N450" s="232"/>
      <c r="O450" s="238">
        <f ca="1">K450*'DADOS BASE'!$I$22</f>
        <v>77361.654429724105</v>
      </c>
      <c r="P450" s="232"/>
      <c r="Q450" s="241">
        <f ca="1">SUM(H450:J450)/K450</f>
        <v>0.10866026631791768</v>
      </c>
    </row>
    <row r="451" spans="2:17" x14ac:dyDescent="0.3">
      <c r="B451" s="233" t="s">
        <v>558</v>
      </c>
      <c r="C451" s="234" t="s">
        <v>156</v>
      </c>
      <c r="D451" s="234" t="s">
        <v>157</v>
      </c>
      <c r="E451" s="234"/>
      <c r="F451" s="234"/>
      <c r="G451" s="239">
        <f>('MATRIZ COMPLETO PROPOSTA'!L450+
  'MATRIZ COMPLETO PROPOSTA'!P450*0.25+
  'MATRIZ COMPLETO PROPOSTA'!S450*0.8)
 /
 ('MATRIZ COMPLETO PROPOSTA'!L11+
  'MATRIZ COMPLETO PROPOSTA'!P11*0.25+
  'MATRIZ COMPLETO PROPOSTA'!S11*0.8)
 *
 'DADOS BASE'!$J$93</f>
        <v>5107816.0338218939</v>
      </c>
      <c r="H451" s="239"/>
      <c r="I451" s="239"/>
      <c r="J451" s="239"/>
      <c r="K451" s="239">
        <f t="shared" ref="K451:K471" si="24">J451+I451+H451+G451</f>
        <v>5107816.0338218939</v>
      </c>
      <c r="L451" s="234"/>
      <c r="M451" s="239">
        <f>'MATRIZ COMPLETO PROPOSTA'!BD451+
 'MATRIZ COMPLETO PROPOSTA'!BA451+
 'MATRIZ COMPLETO PROPOSTA'!AX451+
 'MATRIZ COMPLETO PROPOSTA'!AS451+
 'MATRIZ COMPLETO PROPOSTA'!AM451</f>
        <v>0</v>
      </c>
      <c r="N451" s="234"/>
      <c r="O451" s="239"/>
      <c r="P451" s="234"/>
      <c r="Q451" s="242"/>
    </row>
    <row r="452" spans="2:17" x14ac:dyDescent="0.3">
      <c r="B452" s="235" t="s">
        <v>558</v>
      </c>
      <c r="C452" s="235" t="s">
        <v>560</v>
      </c>
      <c r="D452" s="235" t="s">
        <v>94</v>
      </c>
      <c r="E452" s="236"/>
      <c r="F452" s="236"/>
      <c r="G452" s="237">
        <f ca="1">'MATRIZ COMPLETO PROPOSTA'!H452</f>
        <v>1657030.8413243941</v>
      </c>
      <c r="H452" s="237"/>
      <c r="I452" s="237"/>
      <c r="J452" s="237"/>
      <c r="K452" s="237">
        <f t="shared" ca="1" si="24"/>
        <v>1657030.8413243941</v>
      </c>
      <c r="L452" s="236"/>
      <c r="M452" s="237">
        <f>'MATRIZ COMPLETO PROPOSTA'!BD452+
 'MATRIZ COMPLETO PROPOSTA'!BA452+
 'MATRIZ COMPLETO PROPOSTA'!AX452+
 'MATRIZ COMPLETO PROPOSTA'!AS452+
 'MATRIZ COMPLETO PROPOSTA'!AM452</f>
        <v>850840.71038197633</v>
      </c>
      <c r="N452" s="236"/>
      <c r="O452" s="237"/>
      <c r="P452" s="236"/>
      <c r="Q452" s="243"/>
    </row>
    <row r="453" spans="2:17" x14ac:dyDescent="0.3">
      <c r="B453" s="230" t="s">
        <v>558</v>
      </c>
      <c r="C453" s="230" t="s">
        <v>561</v>
      </c>
      <c r="D453" s="230" t="s">
        <v>98</v>
      </c>
      <c r="G453" s="200">
        <f ca="1">'MATRIZ COMPLETO PROPOSTA'!H453</f>
        <v>332315.35156936914</v>
      </c>
      <c r="H453" s="200"/>
      <c r="I453" s="200"/>
      <c r="J453" s="200"/>
      <c r="K453" s="200">
        <f t="shared" ca="1" si="24"/>
        <v>332315.35156936914</v>
      </c>
      <c r="M453" s="200">
        <f>'MATRIZ COMPLETO PROPOSTA'!BD453+
 'MATRIZ COMPLETO PROPOSTA'!BA453+
 'MATRIZ COMPLETO PROPOSTA'!AX453+
 'MATRIZ COMPLETO PROPOSTA'!AS453+
 'MATRIZ COMPLETO PROPOSTA'!AM453</f>
        <v>78663.256804469129</v>
      </c>
      <c r="O453" s="200"/>
      <c r="Q453" s="240"/>
    </row>
    <row r="454" spans="2:17" x14ac:dyDescent="0.3">
      <c r="B454" s="235" t="s">
        <v>558</v>
      </c>
      <c r="C454" s="235" t="s">
        <v>562</v>
      </c>
      <c r="D454" s="235" t="s">
        <v>98</v>
      </c>
      <c r="E454" s="236"/>
      <c r="F454" s="236"/>
      <c r="G454" s="237">
        <f ca="1">'MATRIZ COMPLETO PROPOSTA'!H454</f>
        <v>201874.26531875422</v>
      </c>
      <c r="H454" s="237"/>
      <c r="I454" s="237"/>
      <c r="J454" s="237"/>
      <c r="K454" s="237">
        <f t="shared" ca="1" si="24"/>
        <v>201874.26531875422</v>
      </c>
      <c r="L454" s="236"/>
      <c r="M454" s="237">
        <f>'MATRIZ COMPLETO PROPOSTA'!BD454+
 'MATRIZ COMPLETO PROPOSTA'!BA454+
 'MATRIZ COMPLETO PROPOSTA'!AX454+
 'MATRIZ COMPLETO PROPOSTA'!AS454+
 'MATRIZ COMPLETO PROPOSTA'!AM454</f>
        <v>52419.772776196558</v>
      </c>
      <c r="N454" s="236"/>
      <c r="O454" s="237"/>
      <c r="P454" s="236"/>
      <c r="Q454" s="243"/>
    </row>
    <row r="455" spans="2:17" x14ac:dyDescent="0.3">
      <c r="B455" s="230" t="s">
        <v>558</v>
      </c>
      <c r="C455" s="230" t="s">
        <v>563</v>
      </c>
      <c r="D455" s="230" t="s">
        <v>98</v>
      </c>
      <c r="G455" s="200">
        <f ca="1">'MATRIZ COMPLETO PROPOSTA'!H455</f>
        <v>169532.27606584851</v>
      </c>
      <c r="H455" s="200"/>
      <c r="I455" s="200"/>
      <c r="J455" s="200"/>
      <c r="K455" s="200">
        <f t="shared" ca="1" si="24"/>
        <v>169532.27606584851</v>
      </c>
      <c r="M455" s="200">
        <f>'MATRIZ COMPLETO PROPOSTA'!BD455+
 'MATRIZ COMPLETO PROPOSTA'!BA455+
 'MATRIZ COMPLETO PROPOSTA'!AX455+
 'MATRIZ COMPLETO PROPOSTA'!AS455+
 'MATRIZ COMPLETO PROPOSTA'!AM455</f>
        <v>96444.782601000348</v>
      </c>
      <c r="O455" s="200"/>
      <c r="Q455" s="240"/>
    </row>
    <row r="456" spans="2:17" x14ac:dyDescent="0.3">
      <c r="B456" s="235" t="s">
        <v>558</v>
      </c>
      <c r="C456" s="235" t="s">
        <v>564</v>
      </c>
      <c r="D456" s="235" t="s">
        <v>94</v>
      </c>
      <c r="E456" s="236"/>
      <c r="F456" s="236"/>
      <c r="G456" s="237">
        <f ca="1">'MATRIZ COMPLETO PROPOSTA'!H456</f>
        <v>2621166.6965634357</v>
      </c>
      <c r="H456" s="237"/>
      <c r="I456" s="237"/>
      <c r="J456" s="237"/>
      <c r="K456" s="237">
        <f t="shared" ca="1" si="24"/>
        <v>2621166.6965634357</v>
      </c>
      <c r="L456" s="236"/>
      <c r="M456" s="237">
        <f>'MATRIZ COMPLETO PROPOSTA'!BD456+
 'MATRIZ COMPLETO PROPOSTA'!BA456+
 'MATRIZ COMPLETO PROPOSTA'!AX456+
 'MATRIZ COMPLETO PROPOSTA'!AS456+
 'MATRIZ COMPLETO PROPOSTA'!AM456</f>
        <v>1021601.266116573</v>
      </c>
      <c r="N456" s="236"/>
      <c r="O456" s="237"/>
      <c r="P456" s="236"/>
      <c r="Q456" s="243"/>
    </row>
    <row r="457" spans="2:17" x14ac:dyDescent="0.3">
      <c r="B457" s="230" t="s">
        <v>558</v>
      </c>
      <c r="C457" s="230" t="s">
        <v>565</v>
      </c>
      <c r="D457" s="230" t="s">
        <v>94</v>
      </c>
      <c r="G457" s="200">
        <f ca="1">'MATRIZ COMPLETO PROPOSTA'!H457</f>
        <v>2060451.8877400944</v>
      </c>
      <c r="H457" s="200"/>
      <c r="I457" s="200"/>
      <c r="J457" s="200"/>
      <c r="K457" s="200">
        <f t="shared" ca="1" si="24"/>
        <v>2060451.8877400944</v>
      </c>
      <c r="M457" s="200">
        <f>'MATRIZ COMPLETO PROPOSTA'!BD457+
 'MATRIZ COMPLETO PROPOSTA'!BA457+
 'MATRIZ COMPLETO PROPOSTA'!AX457+
 'MATRIZ COMPLETO PROPOSTA'!AS457+
 'MATRIZ COMPLETO PROPOSTA'!AM457</f>
        <v>712429.27976010833</v>
      </c>
      <c r="O457" s="200"/>
      <c r="Q457" s="240"/>
    </row>
    <row r="458" spans="2:17" x14ac:dyDescent="0.3">
      <c r="B458" s="235" t="s">
        <v>558</v>
      </c>
      <c r="C458" s="235" t="s">
        <v>566</v>
      </c>
      <c r="D458" s="235" t="s">
        <v>94</v>
      </c>
      <c r="E458" s="236"/>
      <c r="F458" s="236"/>
      <c r="G458" s="237">
        <f ca="1">'MATRIZ COMPLETO PROPOSTA'!H458</f>
        <v>2138767.3615592266</v>
      </c>
      <c r="H458" s="237"/>
      <c r="I458" s="237"/>
      <c r="J458" s="237"/>
      <c r="K458" s="237">
        <f t="shared" ca="1" si="24"/>
        <v>2138767.3615592266</v>
      </c>
      <c r="L458" s="236"/>
      <c r="M458" s="237">
        <f>'MATRIZ COMPLETO PROPOSTA'!BD458+
 'MATRIZ COMPLETO PROPOSTA'!BA458+
 'MATRIZ COMPLETO PROPOSTA'!AX458+
 'MATRIZ COMPLETO PROPOSTA'!AS458+
 'MATRIZ COMPLETO PROPOSTA'!AM458</f>
        <v>990291.14976049541</v>
      </c>
      <c r="N458" s="236"/>
      <c r="O458" s="237"/>
      <c r="P458" s="236"/>
      <c r="Q458" s="243"/>
    </row>
    <row r="459" spans="2:17" x14ac:dyDescent="0.3">
      <c r="B459" s="230" t="s">
        <v>558</v>
      </c>
      <c r="C459" s="230" t="s">
        <v>567</v>
      </c>
      <c r="D459" s="230" t="s">
        <v>94</v>
      </c>
      <c r="G459" s="200">
        <f ca="1">'MATRIZ COMPLETO PROPOSTA'!H459</f>
        <v>2332761.1537020188</v>
      </c>
      <c r="H459" s="200"/>
      <c r="I459" s="200"/>
      <c r="J459" s="200"/>
      <c r="K459" s="200">
        <f t="shared" ca="1" si="24"/>
        <v>2332761.1537020188</v>
      </c>
      <c r="M459" s="200">
        <f>'MATRIZ COMPLETO PROPOSTA'!BD459+
 'MATRIZ COMPLETO PROPOSTA'!BA459+
 'MATRIZ COMPLETO PROPOSTA'!AX459+
 'MATRIZ COMPLETO PROPOSTA'!AS459+
 'MATRIZ COMPLETO PROPOSTA'!AM459</f>
        <v>1007511.5317615081</v>
      </c>
      <c r="O459" s="200"/>
      <c r="Q459" s="240"/>
    </row>
    <row r="460" spans="2:17" x14ac:dyDescent="0.3">
      <c r="B460" s="235" t="s">
        <v>558</v>
      </c>
      <c r="C460" s="235" t="s">
        <v>568</v>
      </c>
      <c r="D460" s="235" t="s">
        <v>94</v>
      </c>
      <c r="E460" s="236"/>
      <c r="F460" s="236"/>
      <c r="G460" s="237">
        <f ca="1">'MATRIZ COMPLETO PROPOSTA'!H460</f>
        <v>1444999.8968015686</v>
      </c>
      <c r="H460" s="237"/>
      <c r="I460" s="237"/>
      <c r="J460" s="237"/>
      <c r="K460" s="237">
        <f t="shared" ca="1" si="24"/>
        <v>1444999.8968015686</v>
      </c>
      <c r="L460" s="236"/>
      <c r="M460" s="237">
        <f>'MATRIZ COMPLETO PROPOSTA'!BD460+
 'MATRIZ COMPLETO PROPOSTA'!BA460+
 'MATRIZ COMPLETO PROPOSTA'!AX460+
 'MATRIZ COMPLETO PROPOSTA'!AS460+
 'MATRIZ COMPLETO PROPOSTA'!AM460</f>
        <v>613956.17240431532</v>
      </c>
      <c r="N460" s="236"/>
      <c r="O460" s="237"/>
      <c r="P460" s="236"/>
      <c r="Q460" s="243"/>
    </row>
    <row r="461" spans="2:17" x14ac:dyDescent="0.3">
      <c r="B461" s="230" t="s">
        <v>558</v>
      </c>
      <c r="C461" s="230" t="s">
        <v>569</v>
      </c>
      <c r="D461" s="230" t="s">
        <v>94</v>
      </c>
      <c r="G461" s="200">
        <f ca="1">'MATRIZ COMPLETO PROPOSTA'!H461</f>
        <v>2408723.0032404945</v>
      </c>
      <c r="H461" s="200"/>
      <c r="I461" s="200"/>
      <c r="J461" s="200"/>
      <c r="K461" s="200">
        <f t="shared" ca="1" si="24"/>
        <v>2408723.0032404945</v>
      </c>
      <c r="M461" s="200">
        <f>'MATRIZ COMPLETO PROPOSTA'!BD461+
 'MATRIZ COMPLETO PROPOSTA'!BA461+
 'MATRIZ COMPLETO PROPOSTA'!AX461+
 'MATRIZ COMPLETO PROPOSTA'!AS461+
 'MATRIZ COMPLETO PROPOSTA'!AM461</f>
        <v>976794.2780433509</v>
      </c>
      <c r="O461" s="200"/>
      <c r="Q461" s="240"/>
    </row>
    <row r="462" spans="2:17" x14ac:dyDescent="0.3">
      <c r="B462" s="235" t="s">
        <v>558</v>
      </c>
      <c r="C462" s="235" t="s">
        <v>570</v>
      </c>
      <c r="D462" s="235" t="s">
        <v>94</v>
      </c>
      <c r="E462" s="236"/>
      <c r="F462" s="236"/>
      <c r="G462" s="237">
        <f ca="1">'MATRIZ COMPLETO PROPOSTA'!H462</f>
        <v>1774059.614257246</v>
      </c>
      <c r="H462" s="237"/>
      <c r="I462" s="237"/>
      <c r="J462" s="237"/>
      <c r="K462" s="237">
        <f t="shared" ca="1" si="24"/>
        <v>1774059.614257246</v>
      </c>
      <c r="L462" s="236"/>
      <c r="M462" s="237">
        <f>'MATRIZ COMPLETO PROPOSTA'!BD462+
 'MATRIZ COMPLETO PROPOSTA'!BA462+
 'MATRIZ COMPLETO PROPOSTA'!AX462+
 'MATRIZ COMPLETO PROPOSTA'!AS462+
 'MATRIZ COMPLETO PROPOSTA'!AM462</f>
        <v>671744.87014466152</v>
      </c>
      <c r="N462" s="236"/>
      <c r="O462" s="237"/>
      <c r="P462" s="236"/>
      <c r="Q462" s="243"/>
    </row>
    <row r="463" spans="2:17" x14ac:dyDescent="0.3">
      <c r="B463" s="230" t="s">
        <v>558</v>
      </c>
      <c r="C463" s="230" t="s">
        <v>571</v>
      </c>
      <c r="D463" s="230" t="s">
        <v>94</v>
      </c>
      <c r="G463" s="200">
        <f ca="1">'MATRIZ COMPLETO PROPOSTA'!H463</f>
        <v>1147998.1676327758</v>
      </c>
      <c r="H463" s="200"/>
      <c r="I463" s="200"/>
      <c r="J463" s="200"/>
      <c r="K463" s="200">
        <f t="shared" ca="1" si="24"/>
        <v>1147998.1676327758</v>
      </c>
      <c r="M463" s="200">
        <f>'MATRIZ COMPLETO PROPOSTA'!BD463+
 'MATRIZ COMPLETO PROPOSTA'!BA463+
 'MATRIZ COMPLETO PROPOSTA'!AX463+
 'MATRIZ COMPLETO PROPOSTA'!AS463+
 'MATRIZ COMPLETO PROPOSTA'!AM463</f>
        <v>680040.00873239222</v>
      </c>
      <c r="O463" s="200"/>
      <c r="Q463" s="240"/>
    </row>
    <row r="464" spans="2:17" x14ac:dyDescent="0.3">
      <c r="B464" s="235" t="s">
        <v>558</v>
      </c>
      <c r="C464" s="235" t="s">
        <v>572</v>
      </c>
      <c r="D464" s="235" t="s">
        <v>94</v>
      </c>
      <c r="E464" s="236"/>
      <c r="F464" s="236"/>
      <c r="G464" s="237">
        <f ca="1">'MATRIZ COMPLETO PROPOSTA'!H464</f>
        <v>2022403.9756725093</v>
      </c>
      <c r="H464" s="237"/>
      <c r="I464" s="237"/>
      <c r="J464" s="237"/>
      <c r="K464" s="237">
        <f t="shared" ca="1" si="24"/>
        <v>2022403.9756725093</v>
      </c>
      <c r="L464" s="236"/>
      <c r="M464" s="237">
        <f>'MATRIZ COMPLETO PROPOSTA'!BD464+
 'MATRIZ COMPLETO PROPOSTA'!BA464+
 'MATRIZ COMPLETO PROPOSTA'!AX464+
 'MATRIZ COMPLETO PROPOSTA'!AS464+
 'MATRIZ COMPLETO PROPOSTA'!AM464</f>
        <v>927005.9369429776</v>
      </c>
      <c r="N464" s="236"/>
      <c r="O464" s="237"/>
      <c r="P464" s="236"/>
      <c r="Q464" s="243"/>
    </row>
    <row r="465" spans="2:17" x14ac:dyDescent="0.3">
      <c r="B465" s="230" t="s">
        <v>558</v>
      </c>
      <c r="C465" s="230" t="s">
        <v>573</v>
      </c>
      <c r="D465" s="230" t="s">
        <v>94</v>
      </c>
      <c r="G465" s="200">
        <f ca="1">'MATRIZ COMPLETO PROPOSTA'!H465</f>
        <v>1448819.9710002295</v>
      </c>
      <c r="H465" s="200"/>
      <c r="I465" s="200"/>
      <c r="J465" s="200"/>
      <c r="K465" s="200">
        <f t="shared" ca="1" si="24"/>
        <v>1448819.9710002295</v>
      </c>
      <c r="M465" s="200">
        <f>'MATRIZ COMPLETO PROPOSTA'!BD465+
 'MATRIZ COMPLETO PROPOSTA'!BA465+
 'MATRIZ COMPLETO PROPOSTA'!AX465+
 'MATRIZ COMPLETO PROPOSTA'!AS465+
 'MATRIZ COMPLETO PROPOSTA'!AM465</f>
        <v>767791.71853125584</v>
      </c>
      <c r="O465" s="200"/>
      <c r="Q465" s="240"/>
    </row>
    <row r="466" spans="2:17" x14ac:dyDescent="0.3">
      <c r="B466" s="235" t="s">
        <v>558</v>
      </c>
      <c r="C466" s="235" t="s">
        <v>574</v>
      </c>
      <c r="D466" s="235" t="s">
        <v>94</v>
      </c>
      <c r="E466" s="236"/>
      <c r="F466" s="236"/>
      <c r="G466" s="237">
        <f ca="1">'MATRIZ COMPLETO PROPOSTA'!H466</f>
        <v>1656294.5302800988</v>
      </c>
      <c r="H466" s="237"/>
      <c r="I466" s="237"/>
      <c r="J466" s="237"/>
      <c r="K466" s="237">
        <f t="shared" ca="1" si="24"/>
        <v>1656294.5302800988</v>
      </c>
      <c r="L466" s="236"/>
      <c r="M466" s="237">
        <f>'MATRIZ COMPLETO PROPOSTA'!BD466+
 'MATRIZ COMPLETO PROPOSTA'!BA466+
 'MATRIZ COMPLETO PROPOSTA'!AX466+
 'MATRIZ COMPLETO PROPOSTA'!AS466+
 'MATRIZ COMPLETO PROPOSTA'!AM466</f>
        <v>578815.49141698063</v>
      </c>
      <c r="N466" s="236"/>
      <c r="O466" s="237"/>
      <c r="P466" s="236"/>
      <c r="Q466" s="243"/>
    </row>
    <row r="467" spans="2:17" x14ac:dyDescent="0.3">
      <c r="B467" s="230" t="s">
        <v>558</v>
      </c>
      <c r="C467" s="230" t="s">
        <v>575</v>
      </c>
      <c r="D467" s="230" t="s">
        <v>94</v>
      </c>
      <c r="G467" s="200">
        <f ca="1">'MATRIZ COMPLETO PROPOSTA'!H467</f>
        <v>1576305.3201442626</v>
      </c>
      <c r="H467" s="200"/>
      <c r="I467" s="200"/>
      <c r="J467" s="200"/>
      <c r="K467" s="200">
        <f t="shared" ca="1" si="24"/>
        <v>1576305.3201442626</v>
      </c>
      <c r="M467" s="200">
        <f>'MATRIZ COMPLETO PROPOSTA'!BD467+
 'MATRIZ COMPLETO PROPOSTA'!BA467+
 'MATRIZ COMPLETO PROPOSTA'!AX467+
 'MATRIZ COMPLETO PROPOSTA'!AS467+
 'MATRIZ COMPLETO PROPOSTA'!AM467</f>
        <v>758239.67941284063</v>
      </c>
      <c r="O467" s="200"/>
      <c r="Q467" s="240"/>
    </row>
    <row r="468" spans="2:17" x14ac:dyDescent="0.3">
      <c r="B468" s="235" t="s">
        <v>558</v>
      </c>
      <c r="C468" s="235" t="s">
        <v>576</v>
      </c>
      <c r="D468" s="235" t="s">
        <v>94</v>
      </c>
      <c r="E468" s="236"/>
      <c r="F468" s="236"/>
      <c r="G468" s="237">
        <f ca="1">'MATRIZ COMPLETO PROPOSTA'!H468</f>
        <v>8836911.5059210807</v>
      </c>
      <c r="H468" s="237"/>
      <c r="I468" s="237"/>
      <c r="J468" s="237"/>
      <c r="K468" s="237">
        <f t="shared" ca="1" si="24"/>
        <v>8836911.5059210807</v>
      </c>
      <c r="L468" s="236"/>
      <c r="M468" s="237">
        <f>'MATRIZ COMPLETO PROPOSTA'!BD468+
 'MATRIZ COMPLETO PROPOSTA'!BA468+
 'MATRIZ COMPLETO PROPOSTA'!AX468+
 'MATRIZ COMPLETO PROPOSTA'!AS468+
 'MATRIZ COMPLETO PROPOSTA'!AM468</f>
        <v>3261008.9839636912</v>
      </c>
      <c r="N468" s="236"/>
      <c r="O468" s="237"/>
      <c r="P468" s="236"/>
      <c r="Q468" s="243"/>
    </row>
    <row r="469" spans="2:17" x14ac:dyDescent="0.3">
      <c r="B469" s="230" t="s">
        <v>558</v>
      </c>
      <c r="C469" s="230" t="s">
        <v>577</v>
      </c>
      <c r="D469" s="230" t="s">
        <v>94</v>
      </c>
      <c r="G469" s="200">
        <f ca="1">'MATRIZ COMPLETO PROPOSTA'!H469</f>
        <v>2914839.9181496799</v>
      </c>
      <c r="H469" s="200"/>
      <c r="I469" s="200"/>
      <c r="J469" s="200"/>
      <c r="K469" s="200">
        <f t="shared" ca="1" si="24"/>
        <v>2914839.9181496799</v>
      </c>
      <c r="M469" s="200">
        <f>'MATRIZ COMPLETO PROPOSTA'!BD469+
 'MATRIZ COMPLETO PROPOSTA'!BA469+
 'MATRIZ COMPLETO PROPOSTA'!AX469+
 'MATRIZ COMPLETO PROPOSTA'!AS469+
 'MATRIZ COMPLETO PROPOSTA'!AM469</f>
        <v>947415.61631918256</v>
      </c>
      <c r="O469" s="200"/>
      <c r="Q469" s="240"/>
    </row>
    <row r="470" spans="2:17" x14ac:dyDescent="0.3">
      <c r="B470" s="235" t="s">
        <v>558</v>
      </c>
      <c r="C470" s="235" t="s">
        <v>578</v>
      </c>
      <c r="D470" s="235" t="s">
        <v>92</v>
      </c>
      <c r="E470" s="236"/>
      <c r="F470" s="236"/>
      <c r="G470" s="237">
        <f ca="1">'MATRIZ COMPLETO PROPOSTA'!H470</f>
        <v>2744023.9412570288</v>
      </c>
      <c r="H470" s="237"/>
      <c r="I470" s="237"/>
      <c r="J470" s="237"/>
      <c r="K470" s="237">
        <f t="shared" ca="1" si="24"/>
        <v>2744023.9412570288</v>
      </c>
      <c r="L470" s="236"/>
      <c r="M470" s="237">
        <f>'MATRIZ COMPLETO PROPOSTA'!BD470+
 'MATRIZ COMPLETO PROPOSTA'!BA470+
 'MATRIZ COMPLETO PROPOSTA'!AX470+
 'MATRIZ COMPLETO PROPOSTA'!AS470+
 'MATRIZ COMPLETO PROPOSTA'!AM470</f>
        <v>1002620.4460803836</v>
      </c>
      <c r="N470" s="236"/>
      <c r="O470" s="237"/>
      <c r="P470" s="236"/>
      <c r="Q470" s="243"/>
    </row>
    <row r="471" spans="2:17" x14ac:dyDescent="0.3">
      <c r="B471" s="230" t="s">
        <v>558</v>
      </c>
      <c r="C471" s="230" t="s">
        <v>579</v>
      </c>
      <c r="D471" s="230" t="s">
        <v>94</v>
      </c>
      <c r="G471" s="200">
        <f ca="1">'MATRIZ COMPLETO PROPOSTA'!H471</f>
        <v>1373248.5923750333</v>
      </c>
      <c r="H471" s="200"/>
      <c r="I471" s="200"/>
      <c r="J471" s="200"/>
      <c r="K471" s="200">
        <f t="shared" ca="1" si="24"/>
        <v>1373248.5923750333</v>
      </c>
      <c r="M471" s="200">
        <f>'MATRIZ COMPLETO PROPOSTA'!BD471+
 'MATRIZ COMPLETO PROPOSTA'!BA471+
 'MATRIZ COMPLETO PROPOSTA'!AX471+
 'MATRIZ COMPLETO PROPOSTA'!AS471+
 'MATRIZ COMPLETO PROPOSTA'!AM471</f>
        <v>590404.24812650343</v>
      </c>
      <c r="O471" s="200"/>
      <c r="Q471" s="240"/>
    </row>
    <row r="472" spans="2:17" x14ac:dyDescent="0.3">
      <c r="G472" s="200"/>
      <c r="H472" s="200"/>
      <c r="I472" s="200"/>
      <c r="J472" s="200"/>
      <c r="K472" s="200"/>
      <c r="M472" s="200"/>
      <c r="O472" s="200"/>
      <c r="Q472" s="240"/>
    </row>
    <row r="473" spans="2:17" x14ac:dyDescent="0.3">
      <c r="B473" s="231" t="s">
        <v>580</v>
      </c>
      <c r="C473" s="231" t="s">
        <v>581</v>
      </c>
      <c r="D473" s="232" t="s">
        <v>154</v>
      </c>
      <c r="E473" s="232"/>
      <c r="F473" s="232"/>
      <c r="G473" s="238">
        <f ca="1">SUM(G474:G500)</f>
        <v>40809915.937706664</v>
      </c>
      <c r="H473" s="238">
        <f>'MATRIZ COMPLETO PROPOSTA'!Y473</f>
        <v>1141179.9911756958</v>
      </c>
      <c r="I473" s="238">
        <f>'MATRIZ COMPLETO PROPOSTA'!AA473</f>
        <v>959015.2021777177</v>
      </c>
      <c r="J473" s="238">
        <f>'MATRIZ COMPLETO PROPOSTA'!AC473</f>
        <v>2734507.6385113895</v>
      </c>
      <c r="K473" s="238">
        <f ca="1">SUM(G473:J473)</f>
        <v>45644618.769571468</v>
      </c>
      <c r="L473" s="232"/>
      <c r="M473" s="238">
        <f>SUM(M474:M500)</f>
        <v>12080007.176860258</v>
      </c>
      <c r="N473" s="232"/>
      <c r="O473" s="238">
        <f ca="1">K473*'DADOS BASE'!$I$22</f>
        <v>68466.9281543572</v>
      </c>
      <c r="P473" s="232"/>
      <c r="Q473" s="241">
        <f ca="1">SUM(H473:J473)/K473</f>
        <v>0.10592054358635174</v>
      </c>
    </row>
    <row r="474" spans="2:17" x14ac:dyDescent="0.3">
      <c r="B474" s="233" t="s">
        <v>580</v>
      </c>
      <c r="C474" s="234" t="s">
        <v>156</v>
      </c>
      <c r="D474" s="234" t="s">
        <v>157</v>
      </c>
      <c r="E474" s="234"/>
      <c r="F474" s="234"/>
      <c r="G474" s="239">
        <f>('MATRIZ COMPLETO PROPOSTA'!L473+
  'MATRIZ COMPLETO PROPOSTA'!P473*0.25+
  'MATRIZ COMPLETO PROPOSTA'!S473*0.8)
 /
 ('MATRIZ COMPLETO PROPOSTA'!L11+
  'MATRIZ COMPLETO PROPOSTA'!P11*0.25+
  'MATRIZ COMPLETO PROPOSTA'!S11*0.8)
 *
 'DADOS BASE'!$J$93</f>
        <v>4458420.444037064</v>
      </c>
      <c r="H474" s="239"/>
      <c r="I474" s="239"/>
      <c r="J474" s="239"/>
      <c r="K474" s="239">
        <f t="shared" ref="K474:K500" si="25">J474+I474+H474+G474</f>
        <v>4458420.444037064</v>
      </c>
      <c r="L474" s="234"/>
      <c r="M474" s="239">
        <f>'MATRIZ COMPLETO PROPOSTA'!BD474+
 'MATRIZ COMPLETO PROPOSTA'!BA474+
 'MATRIZ COMPLETO PROPOSTA'!AX474+
 'MATRIZ COMPLETO PROPOSTA'!AS474+
 'MATRIZ COMPLETO PROPOSTA'!AM474</f>
        <v>0</v>
      </c>
      <c r="N474" s="234"/>
      <c r="O474" s="239"/>
      <c r="P474" s="234"/>
      <c r="Q474" s="242"/>
    </row>
    <row r="475" spans="2:17" x14ac:dyDescent="0.3">
      <c r="B475" s="230" t="s">
        <v>580</v>
      </c>
      <c r="C475" s="230" t="s">
        <v>582</v>
      </c>
      <c r="D475" s="230" t="s">
        <v>94</v>
      </c>
      <c r="G475" s="200">
        <f ca="1">'MATRIZ COMPLETO PROPOSTA'!H475</f>
        <v>1796223.1182154203</v>
      </c>
      <c r="H475" s="200"/>
      <c r="I475" s="200"/>
      <c r="J475" s="200"/>
      <c r="K475" s="200">
        <f t="shared" ca="1" si="25"/>
        <v>1796223.1182154203</v>
      </c>
      <c r="M475" s="200">
        <f>'MATRIZ COMPLETO PROPOSTA'!BD475+
 'MATRIZ COMPLETO PROPOSTA'!BA475+
 'MATRIZ COMPLETO PROPOSTA'!AX475+
 'MATRIZ COMPLETO PROPOSTA'!AS475+
 'MATRIZ COMPLETO PROPOSTA'!AM475</f>
        <v>596786.93565741368</v>
      </c>
      <c r="O475" s="200"/>
      <c r="Q475" s="240"/>
    </row>
    <row r="476" spans="2:17" x14ac:dyDescent="0.3">
      <c r="B476" s="235" t="s">
        <v>580</v>
      </c>
      <c r="C476" s="235" t="s">
        <v>583</v>
      </c>
      <c r="D476" s="235" t="s">
        <v>98</v>
      </c>
      <c r="E476" s="236"/>
      <c r="F476" s="236"/>
      <c r="G476" s="237">
        <f ca="1">'MATRIZ COMPLETO PROPOSTA'!H476</f>
        <v>700000</v>
      </c>
      <c r="H476" s="237"/>
      <c r="I476" s="237"/>
      <c r="J476" s="237"/>
      <c r="K476" s="237">
        <f t="shared" ca="1" si="25"/>
        <v>700000</v>
      </c>
      <c r="L476" s="236"/>
      <c r="M476" s="237">
        <f>'MATRIZ COMPLETO PROPOSTA'!BD476+
 'MATRIZ COMPLETO PROPOSTA'!BA476+
 'MATRIZ COMPLETO PROPOSTA'!AX476+
 'MATRIZ COMPLETO PROPOSTA'!AS476+
 'MATRIZ COMPLETO PROPOSTA'!AM476</f>
        <v>7938.1629019376578</v>
      </c>
      <c r="N476" s="236"/>
      <c r="O476" s="237"/>
      <c r="P476" s="236"/>
      <c r="Q476" s="243"/>
    </row>
    <row r="477" spans="2:17" x14ac:dyDescent="0.3">
      <c r="B477" s="230" t="s">
        <v>580</v>
      </c>
      <c r="C477" s="230" t="s">
        <v>584</v>
      </c>
      <c r="D477" s="230" t="s">
        <v>98</v>
      </c>
      <c r="G477" s="200">
        <f ca="1">'MATRIZ COMPLETO PROPOSTA'!H477</f>
        <v>177690.04068086119</v>
      </c>
      <c r="H477" s="200"/>
      <c r="I477" s="200"/>
      <c r="J477" s="200"/>
      <c r="K477" s="200">
        <f t="shared" ca="1" si="25"/>
        <v>177690.04068086119</v>
      </c>
      <c r="M477" s="200">
        <f>'MATRIZ COMPLETO PROPOSTA'!BD477+
 'MATRIZ COMPLETO PROPOSTA'!BA477+
 'MATRIZ COMPLETO PROPOSTA'!AX477+
 'MATRIZ COMPLETO PROPOSTA'!AS477+
 'MATRIZ COMPLETO PROPOSTA'!AM477</f>
        <v>99668.103586522891</v>
      </c>
      <c r="O477" s="200"/>
      <c r="Q477" s="240"/>
    </row>
    <row r="478" spans="2:17" x14ac:dyDescent="0.3">
      <c r="B478" s="235" t="s">
        <v>580</v>
      </c>
      <c r="C478" s="235" t="s">
        <v>585</v>
      </c>
      <c r="D478" s="235" t="s">
        <v>98</v>
      </c>
      <c r="E478" s="236"/>
      <c r="F478" s="236"/>
      <c r="G478" s="237">
        <f ca="1">'MATRIZ COMPLETO PROPOSTA'!H478</f>
        <v>440595.7057525455</v>
      </c>
      <c r="H478" s="237"/>
      <c r="I478" s="237"/>
      <c r="J478" s="237"/>
      <c r="K478" s="237">
        <f t="shared" ca="1" si="25"/>
        <v>440595.7057525455</v>
      </c>
      <c r="L478" s="236"/>
      <c r="M478" s="237">
        <f>'MATRIZ COMPLETO PROPOSTA'!BD478+
 'MATRIZ COMPLETO PROPOSTA'!BA478+
 'MATRIZ COMPLETO PROPOSTA'!AX478+
 'MATRIZ COMPLETO PROPOSTA'!AS478+
 'MATRIZ COMPLETO PROPOSTA'!AM478</f>
        <v>221231.44105625467</v>
      </c>
      <c r="N478" s="236"/>
      <c r="O478" s="237"/>
      <c r="P478" s="236"/>
      <c r="Q478" s="243"/>
    </row>
    <row r="479" spans="2:17" x14ac:dyDescent="0.3">
      <c r="B479" s="230" t="s">
        <v>580</v>
      </c>
      <c r="C479" s="230" t="s">
        <v>586</v>
      </c>
      <c r="D479" s="230" t="s">
        <v>98</v>
      </c>
      <c r="G479" s="200">
        <f ca="1">'MATRIZ COMPLETO PROPOSTA'!H479</f>
        <v>459899.85241869168</v>
      </c>
      <c r="H479" s="200"/>
      <c r="I479" s="200"/>
      <c r="J479" s="200"/>
      <c r="K479" s="200">
        <f t="shared" ca="1" si="25"/>
        <v>459899.85241869168</v>
      </c>
      <c r="M479" s="200">
        <f>'MATRIZ COMPLETO PROPOSTA'!BD479+
 'MATRIZ COMPLETO PROPOSTA'!BA479+
 'MATRIZ COMPLETO PROPOSTA'!AX479+
 'MATRIZ COMPLETO PROPOSTA'!AS479+
 'MATRIZ COMPLETO PROPOSTA'!AM479</f>
        <v>227444.96757220707</v>
      </c>
      <c r="O479" s="200"/>
      <c r="Q479" s="240"/>
    </row>
    <row r="480" spans="2:17" x14ac:dyDescent="0.3">
      <c r="B480" s="235" t="s">
        <v>580</v>
      </c>
      <c r="C480" s="235" t="s">
        <v>587</v>
      </c>
      <c r="D480" s="235" t="s">
        <v>98</v>
      </c>
      <c r="E480" s="236"/>
      <c r="F480" s="236"/>
      <c r="G480" s="237">
        <f ca="1">'MATRIZ COMPLETO PROPOSTA'!H480</f>
        <v>431266.10209522722</v>
      </c>
      <c r="H480" s="237"/>
      <c r="I480" s="237"/>
      <c r="J480" s="237"/>
      <c r="K480" s="237">
        <f t="shared" ca="1" si="25"/>
        <v>431266.10209522722</v>
      </c>
      <c r="L480" s="236"/>
      <c r="M480" s="237">
        <f>'MATRIZ COMPLETO PROPOSTA'!BD480+
 'MATRIZ COMPLETO PROPOSTA'!BA480+
 'MATRIZ COMPLETO PROPOSTA'!AX480+
 'MATRIZ COMPLETO PROPOSTA'!AS480+
 'MATRIZ COMPLETO PROPOSTA'!AM480</f>
        <v>170530.11722617151</v>
      </c>
      <c r="N480" s="236"/>
      <c r="O480" s="237"/>
      <c r="P480" s="236"/>
      <c r="Q480" s="243"/>
    </row>
    <row r="481" spans="2:17" x14ac:dyDescent="0.3">
      <c r="B481" s="230" t="s">
        <v>580</v>
      </c>
      <c r="C481" s="230" t="s">
        <v>588</v>
      </c>
      <c r="D481" s="230" t="s">
        <v>98</v>
      </c>
      <c r="G481" s="200">
        <f ca="1">'MATRIZ COMPLETO PROPOSTA'!H481</f>
        <v>235240.13376152274</v>
      </c>
      <c r="H481" s="200"/>
      <c r="I481" s="200"/>
      <c r="J481" s="200"/>
      <c r="K481" s="200">
        <f t="shared" ca="1" si="25"/>
        <v>235240.13376152274</v>
      </c>
      <c r="M481" s="200">
        <f>'MATRIZ COMPLETO PROPOSTA'!BD481+
 'MATRIZ COMPLETO PROPOSTA'!BA481+
 'MATRIZ COMPLETO PROPOSTA'!AX481+
 'MATRIZ COMPLETO PROPOSTA'!AS481+
 'MATRIZ COMPLETO PROPOSTA'!AM481</f>
        <v>106080.41667533909</v>
      </c>
      <c r="O481" s="200"/>
      <c r="Q481" s="240"/>
    </row>
    <row r="482" spans="2:17" x14ac:dyDescent="0.3">
      <c r="B482" s="235" t="s">
        <v>580</v>
      </c>
      <c r="C482" s="235" t="s">
        <v>589</v>
      </c>
      <c r="D482" s="235" t="s">
        <v>94</v>
      </c>
      <c r="E482" s="236"/>
      <c r="F482" s="236"/>
      <c r="G482" s="237">
        <f ca="1">'MATRIZ COMPLETO PROPOSTA'!H482</f>
        <v>1589336.0721330536</v>
      </c>
      <c r="H482" s="237"/>
      <c r="I482" s="237"/>
      <c r="J482" s="237"/>
      <c r="K482" s="237">
        <f t="shared" ca="1" si="25"/>
        <v>1589336.0721330536</v>
      </c>
      <c r="L482" s="236"/>
      <c r="M482" s="237">
        <f>'MATRIZ COMPLETO PROPOSTA'!BD482+
 'MATRIZ COMPLETO PROPOSTA'!BA482+
 'MATRIZ COMPLETO PROPOSTA'!AX482+
 'MATRIZ COMPLETO PROPOSTA'!AS482+
 'MATRIZ COMPLETO PROPOSTA'!AM482</f>
        <v>424838.08461836638</v>
      </c>
      <c r="N482" s="236"/>
      <c r="O482" s="237"/>
      <c r="P482" s="236"/>
      <c r="Q482" s="243"/>
    </row>
    <row r="483" spans="2:17" x14ac:dyDescent="0.3">
      <c r="B483" s="230" t="s">
        <v>580</v>
      </c>
      <c r="C483" s="230" t="s">
        <v>590</v>
      </c>
      <c r="D483" s="230" t="s">
        <v>94</v>
      </c>
      <c r="G483" s="200">
        <f ca="1">'MATRIZ COMPLETO PROPOSTA'!H483</f>
        <v>673285.26298370911</v>
      </c>
      <c r="H483" s="200"/>
      <c r="I483" s="200"/>
      <c r="J483" s="200"/>
      <c r="K483" s="200">
        <f t="shared" ca="1" si="25"/>
        <v>673285.26298370911</v>
      </c>
      <c r="M483" s="200">
        <f>'MATRIZ COMPLETO PROPOSTA'!BD483+
 'MATRIZ COMPLETO PROPOSTA'!BA483+
 'MATRIZ COMPLETO PROPOSTA'!AX483+
 'MATRIZ COMPLETO PROPOSTA'!AS483+
 'MATRIZ COMPLETO PROPOSTA'!AM483</f>
        <v>262334.3661252234</v>
      </c>
      <c r="O483" s="200"/>
      <c r="Q483" s="240"/>
    </row>
    <row r="484" spans="2:17" x14ac:dyDescent="0.3">
      <c r="B484" s="235" t="s">
        <v>580</v>
      </c>
      <c r="C484" s="235" t="s">
        <v>591</v>
      </c>
      <c r="D484" s="235" t="s">
        <v>94</v>
      </c>
      <c r="E484" s="236"/>
      <c r="F484" s="236"/>
      <c r="G484" s="237">
        <f ca="1">'MATRIZ COMPLETO PROPOSTA'!H484</f>
        <v>1240658.1763768245</v>
      </c>
      <c r="H484" s="237"/>
      <c r="I484" s="237"/>
      <c r="J484" s="237"/>
      <c r="K484" s="237">
        <f t="shared" ca="1" si="25"/>
        <v>1240658.1763768245</v>
      </c>
      <c r="L484" s="236"/>
      <c r="M484" s="237">
        <f>'MATRIZ COMPLETO PROPOSTA'!BD484+
 'MATRIZ COMPLETO PROPOSTA'!BA484+
 'MATRIZ COMPLETO PROPOSTA'!AX484+
 'MATRIZ COMPLETO PROPOSTA'!AS484+
 'MATRIZ COMPLETO PROPOSTA'!AM484</f>
        <v>415083.03000345826</v>
      </c>
      <c r="N484" s="236"/>
      <c r="O484" s="237"/>
      <c r="P484" s="236"/>
      <c r="Q484" s="243"/>
    </row>
    <row r="485" spans="2:17" x14ac:dyDescent="0.3">
      <c r="B485" s="230" t="s">
        <v>580</v>
      </c>
      <c r="C485" s="230" t="s">
        <v>592</v>
      </c>
      <c r="D485" s="230" t="s">
        <v>94</v>
      </c>
      <c r="G485" s="200">
        <f ca="1">'MATRIZ COMPLETO PROPOSTA'!H485</f>
        <v>2273193.486043198</v>
      </c>
      <c r="H485" s="200"/>
      <c r="I485" s="200"/>
      <c r="J485" s="200"/>
      <c r="K485" s="200">
        <f t="shared" ca="1" si="25"/>
        <v>2273193.486043198</v>
      </c>
      <c r="M485" s="200">
        <f>'MATRIZ COMPLETO PROPOSTA'!BD485+
 'MATRIZ COMPLETO PROPOSTA'!BA485+
 'MATRIZ COMPLETO PROPOSTA'!AX485+
 'MATRIZ COMPLETO PROPOSTA'!AS485+
 'MATRIZ COMPLETO PROPOSTA'!AM485</f>
        <v>670582.72117548063</v>
      </c>
      <c r="O485" s="200"/>
      <c r="Q485" s="240"/>
    </row>
    <row r="486" spans="2:17" x14ac:dyDescent="0.3">
      <c r="B486" s="235" t="s">
        <v>580</v>
      </c>
      <c r="C486" s="235" t="s">
        <v>593</v>
      </c>
      <c r="D486" s="235" t="s">
        <v>94</v>
      </c>
      <c r="E486" s="236"/>
      <c r="F486" s="236"/>
      <c r="G486" s="237">
        <f ca="1">'MATRIZ COMPLETO PROPOSTA'!H486</f>
        <v>2953043.650375085</v>
      </c>
      <c r="H486" s="237"/>
      <c r="I486" s="237"/>
      <c r="J486" s="237"/>
      <c r="K486" s="237">
        <f t="shared" ca="1" si="25"/>
        <v>2953043.650375085</v>
      </c>
      <c r="L486" s="236"/>
      <c r="M486" s="237">
        <f>'MATRIZ COMPLETO PROPOSTA'!BD486+
 'MATRIZ COMPLETO PROPOSTA'!BA486+
 'MATRIZ COMPLETO PROPOSTA'!AX486+
 'MATRIZ COMPLETO PROPOSTA'!AS486+
 'MATRIZ COMPLETO PROPOSTA'!AM486</f>
        <v>1095144.340668116</v>
      </c>
      <c r="N486" s="236"/>
      <c r="O486" s="237"/>
      <c r="P486" s="236"/>
      <c r="Q486" s="243"/>
    </row>
    <row r="487" spans="2:17" x14ac:dyDescent="0.3">
      <c r="B487" s="230" t="s">
        <v>580</v>
      </c>
      <c r="C487" s="230" t="s">
        <v>594</v>
      </c>
      <c r="D487" s="230" t="s">
        <v>94</v>
      </c>
      <c r="G487" s="200">
        <f ca="1">'MATRIZ COMPLETO PROPOSTA'!H487</f>
        <v>2141818.2200117074</v>
      </c>
      <c r="H487" s="200"/>
      <c r="I487" s="200"/>
      <c r="J487" s="200"/>
      <c r="K487" s="200">
        <f t="shared" ca="1" si="25"/>
        <v>2141818.2200117074</v>
      </c>
      <c r="M487" s="200">
        <f>'MATRIZ COMPLETO PROPOSTA'!BD487+
 'MATRIZ COMPLETO PROPOSTA'!BA487+
 'MATRIZ COMPLETO PROPOSTA'!AX487+
 'MATRIZ COMPLETO PROPOSTA'!AS487+
 'MATRIZ COMPLETO PROPOSTA'!AM487</f>
        <v>623031.54801428784</v>
      </c>
      <c r="O487" s="200"/>
      <c r="Q487" s="240"/>
    </row>
    <row r="488" spans="2:17" x14ac:dyDescent="0.3">
      <c r="B488" s="235" t="s">
        <v>580</v>
      </c>
      <c r="C488" s="235" t="s">
        <v>595</v>
      </c>
      <c r="D488" s="235" t="s">
        <v>94</v>
      </c>
      <c r="E488" s="236"/>
      <c r="F488" s="236"/>
      <c r="G488" s="237">
        <f ca="1">'MATRIZ COMPLETO PROPOSTA'!H488</f>
        <v>2056334.260539009</v>
      </c>
      <c r="H488" s="237"/>
      <c r="I488" s="237"/>
      <c r="J488" s="237"/>
      <c r="K488" s="237">
        <f t="shared" ca="1" si="25"/>
        <v>2056334.260539009</v>
      </c>
      <c r="L488" s="236"/>
      <c r="M488" s="237">
        <f>'MATRIZ COMPLETO PROPOSTA'!BD488+
 'MATRIZ COMPLETO PROPOSTA'!BA488+
 'MATRIZ COMPLETO PROPOSTA'!AX488+
 'MATRIZ COMPLETO PROPOSTA'!AS488+
 'MATRIZ COMPLETO PROPOSTA'!AM488</f>
        <v>607485.06645491056</v>
      </c>
      <c r="N488" s="236"/>
      <c r="O488" s="237"/>
      <c r="P488" s="236"/>
      <c r="Q488" s="243"/>
    </row>
    <row r="489" spans="2:17" x14ac:dyDescent="0.3">
      <c r="B489" s="230" t="s">
        <v>580</v>
      </c>
      <c r="C489" s="230" t="s">
        <v>596</v>
      </c>
      <c r="D489" s="230" t="s">
        <v>94</v>
      </c>
      <c r="G489" s="200">
        <f ca="1">'MATRIZ COMPLETO PROPOSTA'!H489</f>
        <v>1660506.8182612793</v>
      </c>
      <c r="H489" s="200"/>
      <c r="I489" s="200"/>
      <c r="J489" s="200"/>
      <c r="K489" s="200">
        <f t="shared" ca="1" si="25"/>
        <v>1660506.8182612793</v>
      </c>
      <c r="M489" s="200">
        <f>'MATRIZ COMPLETO PROPOSTA'!BD489+
 'MATRIZ COMPLETO PROPOSTA'!BA489+
 'MATRIZ COMPLETO PROPOSTA'!AX489+
 'MATRIZ COMPLETO PROPOSTA'!AS489+
 'MATRIZ COMPLETO PROPOSTA'!AM489</f>
        <v>485961.58725073305</v>
      </c>
      <c r="O489" s="200"/>
      <c r="Q489" s="240"/>
    </row>
    <row r="490" spans="2:17" x14ac:dyDescent="0.3">
      <c r="B490" s="235" t="s">
        <v>580</v>
      </c>
      <c r="C490" s="235" t="s">
        <v>597</v>
      </c>
      <c r="D490" s="235" t="s">
        <v>94</v>
      </c>
      <c r="E490" s="236"/>
      <c r="F490" s="236"/>
      <c r="G490" s="237">
        <f ca="1">'MATRIZ COMPLETO PROPOSTA'!H490</f>
        <v>1658683.3342495637</v>
      </c>
      <c r="H490" s="237"/>
      <c r="I490" s="237"/>
      <c r="J490" s="237"/>
      <c r="K490" s="237">
        <f t="shared" ca="1" si="25"/>
        <v>1658683.3342495637</v>
      </c>
      <c r="L490" s="236"/>
      <c r="M490" s="237">
        <f>'MATRIZ COMPLETO PROPOSTA'!BD490+
 'MATRIZ COMPLETO PROPOSTA'!BA490+
 'MATRIZ COMPLETO PROPOSTA'!AX490+
 'MATRIZ COMPLETO PROPOSTA'!AS490+
 'MATRIZ COMPLETO PROPOSTA'!AM490</f>
        <v>565164.77406029543</v>
      </c>
      <c r="N490" s="236"/>
      <c r="O490" s="237"/>
      <c r="P490" s="236"/>
      <c r="Q490" s="243"/>
    </row>
    <row r="491" spans="2:17" x14ac:dyDescent="0.3">
      <c r="B491" s="230" t="s">
        <v>580</v>
      </c>
      <c r="C491" s="230" t="s">
        <v>598</v>
      </c>
      <c r="D491" s="230" t="s">
        <v>94</v>
      </c>
      <c r="G491" s="200">
        <f ca="1">'MATRIZ COMPLETO PROPOSTA'!H491</f>
        <v>755400.35697774088</v>
      </c>
      <c r="H491" s="200"/>
      <c r="I491" s="200"/>
      <c r="J491" s="200"/>
      <c r="K491" s="200">
        <f t="shared" ca="1" si="25"/>
        <v>755400.35697774088</v>
      </c>
      <c r="M491" s="200">
        <f>'MATRIZ COMPLETO PROPOSTA'!BD491+
 'MATRIZ COMPLETO PROPOSTA'!BA491+
 'MATRIZ COMPLETO PROPOSTA'!AX491+
 'MATRIZ COMPLETO PROPOSTA'!AS491+
 'MATRIZ COMPLETO PROPOSTA'!AM491</f>
        <v>265401.42335372395</v>
      </c>
      <c r="O491" s="200"/>
      <c r="Q491" s="240"/>
    </row>
    <row r="492" spans="2:17" x14ac:dyDescent="0.3">
      <c r="B492" s="235" t="s">
        <v>580</v>
      </c>
      <c r="C492" s="235" t="s">
        <v>599</v>
      </c>
      <c r="D492" s="235" t="s">
        <v>94</v>
      </c>
      <c r="E492" s="236"/>
      <c r="F492" s="236"/>
      <c r="G492" s="237">
        <f ca="1">'MATRIZ COMPLETO PROPOSTA'!H492</f>
        <v>1260748.3216284446</v>
      </c>
      <c r="H492" s="237"/>
      <c r="I492" s="237"/>
      <c r="J492" s="237"/>
      <c r="K492" s="237">
        <f t="shared" ca="1" si="25"/>
        <v>1260748.3216284446</v>
      </c>
      <c r="L492" s="236"/>
      <c r="M492" s="237">
        <f>'MATRIZ COMPLETO PROPOSTA'!BD492+
 'MATRIZ COMPLETO PROPOSTA'!BA492+
 'MATRIZ COMPLETO PROPOSTA'!AX492+
 'MATRIZ COMPLETO PROPOSTA'!AS492+
 'MATRIZ COMPLETO PROPOSTA'!AM492</f>
        <v>487255.67655400326</v>
      </c>
      <c r="N492" s="236"/>
      <c r="O492" s="237"/>
      <c r="P492" s="236"/>
      <c r="Q492" s="243"/>
    </row>
    <row r="493" spans="2:17" x14ac:dyDescent="0.3">
      <c r="B493" s="230" t="s">
        <v>580</v>
      </c>
      <c r="C493" s="230" t="s">
        <v>600</v>
      </c>
      <c r="D493" s="230" t="s">
        <v>94</v>
      </c>
      <c r="G493" s="200">
        <f ca="1">'MATRIZ COMPLETO PROPOSTA'!H493</f>
        <v>3881302.3791386052</v>
      </c>
      <c r="H493" s="200"/>
      <c r="I493" s="200"/>
      <c r="J493" s="200"/>
      <c r="K493" s="200">
        <f t="shared" ca="1" si="25"/>
        <v>3881302.3791386052</v>
      </c>
      <c r="M493" s="200">
        <f>'MATRIZ COMPLETO PROPOSTA'!BD493+
 'MATRIZ COMPLETO PROPOSTA'!BA493+
 'MATRIZ COMPLETO PROPOSTA'!AX493+
 'MATRIZ COMPLETO PROPOSTA'!AS493+
 'MATRIZ COMPLETO PROPOSTA'!AM493</f>
        <v>1254421.0414868414</v>
      </c>
      <c r="O493" s="200"/>
      <c r="Q493" s="240"/>
    </row>
    <row r="494" spans="2:17" x14ac:dyDescent="0.3">
      <c r="B494" s="235" t="s">
        <v>580</v>
      </c>
      <c r="C494" s="235" t="s">
        <v>601</v>
      </c>
      <c r="D494" s="235" t="s">
        <v>94</v>
      </c>
      <c r="E494" s="236"/>
      <c r="F494" s="236"/>
      <c r="G494" s="237">
        <f ca="1">'MATRIZ COMPLETO PROPOSTA'!H494</f>
        <v>1626307.7043313659</v>
      </c>
      <c r="H494" s="237"/>
      <c r="I494" s="237"/>
      <c r="J494" s="237"/>
      <c r="K494" s="237">
        <f t="shared" ca="1" si="25"/>
        <v>1626307.7043313659</v>
      </c>
      <c r="L494" s="236"/>
      <c r="M494" s="237">
        <f>'MATRIZ COMPLETO PROPOSTA'!BD494+
 'MATRIZ COMPLETO PROPOSTA'!BA494+
 'MATRIZ COMPLETO PROPOSTA'!AX494+
 'MATRIZ COMPLETO PROPOSTA'!AS494+
 'MATRIZ COMPLETO PROPOSTA'!AM494</f>
        <v>630955.75380767451</v>
      </c>
      <c r="N494" s="236"/>
      <c r="O494" s="237"/>
      <c r="P494" s="236"/>
      <c r="Q494" s="243"/>
    </row>
    <row r="495" spans="2:17" x14ac:dyDescent="0.3">
      <c r="B495" s="230" t="s">
        <v>580</v>
      </c>
      <c r="C495" s="230" t="s">
        <v>602</v>
      </c>
      <c r="D495" s="230" t="s">
        <v>94</v>
      </c>
      <c r="G495" s="200">
        <f ca="1">'MATRIZ COMPLETO PROPOSTA'!H495</f>
        <v>2111840.6507308153</v>
      </c>
      <c r="H495" s="200"/>
      <c r="I495" s="200"/>
      <c r="J495" s="200"/>
      <c r="K495" s="200">
        <f t="shared" ca="1" si="25"/>
        <v>2111840.6507308153</v>
      </c>
      <c r="M495" s="200">
        <f>'MATRIZ COMPLETO PROPOSTA'!BD495+
 'MATRIZ COMPLETO PROPOSTA'!BA495+
 'MATRIZ COMPLETO PROPOSTA'!AX495+
 'MATRIZ COMPLETO PROPOSTA'!AS495+
 'MATRIZ COMPLETO PROPOSTA'!AM495</f>
        <v>668446.81396497891</v>
      </c>
      <c r="O495" s="200"/>
      <c r="Q495" s="240"/>
    </row>
    <row r="496" spans="2:17" x14ac:dyDescent="0.3">
      <c r="B496" s="235" t="s">
        <v>580</v>
      </c>
      <c r="C496" s="235" t="s">
        <v>603</v>
      </c>
      <c r="D496" s="235" t="s">
        <v>94</v>
      </c>
      <c r="E496" s="236"/>
      <c r="F496" s="236"/>
      <c r="G496" s="237">
        <f ca="1">'MATRIZ COMPLETO PROPOSTA'!H496</f>
        <v>434508.18663645495</v>
      </c>
      <c r="H496" s="237"/>
      <c r="I496" s="237"/>
      <c r="J496" s="237"/>
      <c r="K496" s="237">
        <f t="shared" ca="1" si="25"/>
        <v>434508.18663645495</v>
      </c>
      <c r="L496" s="236"/>
      <c r="M496" s="237">
        <f>'MATRIZ COMPLETO PROPOSTA'!BD496+
 'MATRIZ COMPLETO PROPOSTA'!BA496+
 'MATRIZ COMPLETO PROPOSTA'!AX496+
 'MATRIZ COMPLETO PROPOSTA'!AS496+
 'MATRIZ COMPLETO PROPOSTA'!AM496</f>
        <v>197754.24387513028</v>
      </c>
      <c r="N496" s="236"/>
      <c r="O496" s="237"/>
      <c r="P496" s="236"/>
      <c r="Q496" s="243"/>
    </row>
    <row r="497" spans="2:17" x14ac:dyDescent="0.3">
      <c r="B497" s="230" t="s">
        <v>580</v>
      </c>
      <c r="C497" s="230" t="s">
        <v>604</v>
      </c>
      <c r="D497" s="230" t="s">
        <v>94</v>
      </c>
      <c r="G497" s="200">
        <f ca="1">'MATRIZ COMPLETO PROPOSTA'!H497</f>
        <v>961679.08925695671</v>
      </c>
      <c r="H497" s="200"/>
      <c r="I497" s="200"/>
      <c r="J497" s="200"/>
      <c r="K497" s="200">
        <f t="shared" ca="1" si="25"/>
        <v>961679.08925695671</v>
      </c>
      <c r="M497" s="200">
        <f>'MATRIZ COMPLETO PROPOSTA'!BD497+
 'MATRIZ COMPLETO PROPOSTA'!BA497+
 'MATRIZ COMPLETO PROPOSTA'!AX497+
 'MATRIZ COMPLETO PROPOSTA'!AS497+
 'MATRIZ COMPLETO PROPOSTA'!AM497</f>
        <v>322266.09901205555</v>
      </c>
      <c r="O497" s="200"/>
      <c r="Q497" s="240"/>
    </row>
    <row r="498" spans="2:17" x14ac:dyDescent="0.3">
      <c r="B498" s="235" t="s">
        <v>580</v>
      </c>
      <c r="C498" s="235" t="s">
        <v>605</v>
      </c>
      <c r="D498" s="235" t="s">
        <v>94</v>
      </c>
      <c r="E498" s="236"/>
      <c r="F498" s="236"/>
      <c r="G498" s="237">
        <f ca="1">'MATRIZ COMPLETO PROPOSTA'!H498</f>
        <v>2094628.7844805727</v>
      </c>
      <c r="H498" s="237"/>
      <c r="I498" s="237"/>
      <c r="J498" s="237"/>
      <c r="K498" s="237">
        <f t="shared" ca="1" si="25"/>
        <v>2094628.7844805727</v>
      </c>
      <c r="L498" s="236"/>
      <c r="M498" s="237">
        <f>'MATRIZ COMPLETO PROPOSTA'!BD498+
 'MATRIZ COMPLETO PROPOSTA'!BA498+
 'MATRIZ COMPLETO PROPOSTA'!AX498+
 'MATRIZ COMPLETO PROPOSTA'!AS498+
 'MATRIZ COMPLETO PROPOSTA'!AM498</f>
        <v>726730.83008906269</v>
      </c>
      <c r="N498" s="236"/>
      <c r="O498" s="237"/>
      <c r="P498" s="236"/>
      <c r="Q498" s="243"/>
    </row>
    <row r="499" spans="2:17" x14ac:dyDescent="0.3">
      <c r="B499" s="230" t="s">
        <v>580</v>
      </c>
      <c r="C499" s="230" t="s">
        <v>606</v>
      </c>
      <c r="D499" s="230" t="s">
        <v>94</v>
      </c>
      <c r="G499" s="200">
        <f ca="1">'MATRIZ COMPLETO PROPOSTA'!H499</f>
        <v>2049203.7533846777</v>
      </c>
      <c r="H499" s="200"/>
      <c r="I499" s="200"/>
      <c r="J499" s="200"/>
      <c r="K499" s="200">
        <f t="shared" ca="1" si="25"/>
        <v>2049203.7533846777</v>
      </c>
      <c r="M499" s="200">
        <f>'MATRIZ COMPLETO PROPOSTA'!BD499+
 'MATRIZ COMPLETO PROPOSTA'!BA499+
 'MATRIZ COMPLETO PROPOSTA'!AX499+
 'MATRIZ COMPLETO PROPOSTA'!AS499+
 'MATRIZ COMPLETO PROPOSTA'!AM499</f>
        <v>651898.5935460222</v>
      </c>
      <c r="O499" s="200"/>
      <c r="Q499" s="240"/>
    </row>
    <row r="500" spans="2:17" x14ac:dyDescent="0.3">
      <c r="B500" s="235" t="s">
        <v>580</v>
      </c>
      <c r="C500" s="235" t="s">
        <v>607</v>
      </c>
      <c r="D500" s="235" t="s">
        <v>94</v>
      </c>
      <c r="E500" s="236"/>
      <c r="F500" s="236"/>
      <c r="G500" s="237">
        <f ca="1">'MATRIZ COMPLETO PROPOSTA'!H500</f>
        <v>688102.03320626169</v>
      </c>
      <c r="H500" s="237"/>
      <c r="I500" s="237"/>
      <c r="J500" s="237"/>
      <c r="K500" s="237">
        <f t="shared" ca="1" si="25"/>
        <v>688102.03320626169</v>
      </c>
      <c r="L500" s="236"/>
      <c r="M500" s="237">
        <f>'MATRIZ COMPLETO PROPOSTA'!BD500+
 'MATRIZ COMPLETO PROPOSTA'!BA500+
 'MATRIZ COMPLETO PROPOSTA'!AX500+
 'MATRIZ COMPLETO PROPOSTA'!AS500+
 'MATRIZ COMPLETO PROPOSTA'!AM500</f>
        <v>295571.03812404536</v>
      </c>
      <c r="N500" s="236"/>
      <c r="O500" s="237"/>
      <c r="P500" s="236"/>
      <c r="Q500" s="243"/>
    </row>
    <row r="501" spans="2:17" x14ac:dyDescent="0.3">
      <c r="G501" s="200"/>
      <c r="H501" s="200"/>
      <c r="I501" s="200"/>
      <c r="J501" s="200"/>
      <c r="K501" s="200"/>
      <c r="M501" s="200"/>
      <c r="O501" s="200"/>
      <c r="Q501" s="240"/>
    </row>
    <row r="502" spans="2:17" x14ac:dyDescent="0.3">
      <c r="B502" s="231" t="s">
        <v>608</v>
      </c>
      <c r="C502" s="231" t="s">
        <v>609</v>
      </c>
      <c r="D502" s="232" t="s">
        <v>154</v>
      </c>
      <c r="E502" s="232"/>
      <c r="F502" s="232"/>
      <c r="G502" s="238">
        <f ca="1">SUM(G503:G511)</f>
        <v>26968674.871636614</v>
      </c>
      <c r="H502" s="238">
        <f>'MATRIZ COMPLETO PROPOSTA'!Y502</f>
        <v>265053.18402808998</v>
      </c>
      <c r="I502" s="238">
        <f>'MATRIZ COMPLETO PROPOSTA'!AA502</f>
        <v>1039924.6733291877</v>
      </c>
      <c r="J502" s="238">
        <f>'MATRIZ COMPLETO PROPOSTA'!AC502</f>
        <v>1578959.8629572727</v>
      </c>
      <c r="K502" s="238">
        <f ca="1">SUM(G502:J502)</f>
        <v>29852612.591951165</v>
      </c>
      <c r="L502" s="232"/>
      <c r="M502" s="238">
        <f>SUM(M503:M511)</f>
        <v>4237759.5336186094</v>
      </c>
      <c r="N502" s="232"/>
      <c r="O502" s="238">
        <f ca="1">K502*'DADOS BASE'!$I$22</f>
        <v>44778.918887926746</v>
      </c>
      <c r="P502" s="232"/>
      <c r="Q502" s="241">
        <f ca="1">SUM(H502:J502)/K502</f>
        <v>9.6605873654492636E-2</v>
      </c>
    </row>
    <row r="503" spans="2:17" x14ac:dyDescent="0.3">
      <c r="B503" s="233" t="s">
        <v>608</v>
      </c>
      <c r="C503" s="234" t="s">
        <v>156</v>
      </c>
      <c r="D503" s="234" t="s">
        <v>157</v>
      </c>
      <c r="E503" s="234"/>
      <c r="F503" s="234"/>
      <c r="G503" s="239">
        <f>('MATRIZ COMPLETO PROPOSTA'!L502+
  'MATRIZ COMPLETO PROPOSTA'!P502*0.25+
  'MATRIZ COMPLETO PROPOSTA'!S502*0.8)
 /
 ('MATRIZ COMPLETO PROPOSTA'!L11+
  'MATRIZ COMPLETO PROPOSTA'!P11*0.25+
  'MATRIZ COMPLETO PROPOSTA'!S11*0.8)
 *
 'DADOS BASE'!$J$93</f>
        <v>2996519.4301818465</v>
      </c>
      <c r="H503" s="239"/>
      <c r="I503" s="239"/>
      <c r="J503" s="239"/>
      <c r="K503" s="239">
        <f t="shared" ref="K503:K511" si="26">J503+I503+H503+G503</f>
        <v>2996519.4301818465</v>
      </c>
      <c r="L503" s="234"/>
      <c r="M503" s="239">
        <f>'MATRIZ COMPLETO PROPOSTA'!BD503+
 'MATRIZ COMPLETO PROPOSTA'!BA503+
 'MATRIZ COMPLETO PROPOSTA'!AX503+
 'MATRIZ COMPLETO PROPOSTA'!AS503+
 'MATRIZ COMPLETO PROPOSTA'!AM503</f>
        <v>0</v>
      </c>
      <c r="N503" s="234"/>
      <c r="O503" s="239"/>
      <c r="P503" s="234"/>
      <c r="Q503" s="242"/>
    </row>
    <row r="504" spans="2:17" x14ac:dyDescent="0.3">
      <c r="B504" s="235" t="s">
        <v>608</v>
      </c>
      <c r="C504" s="235" t="s">
        <v>610</v>
      </c>
      <c r="D504" s="235" t="s">
        <v>94</v>
      </c>
      <c r="E504" s="236"/>
      <c r="F504" s="236"/>
      <c r="G504" s="237">
        <f ca="1">'MATRIZ COMPLETO PROPOSTA'!H504</f>
        <v>1467100.3755413275</v>
      </c>
      <c r="H504" s="237"/>
      <c r="I504" s="237"/>
      <c r="J504" s="237"/>
      <c r="K504" s="237">
        <f t="shared" ca="1" si="26"/>
        <v>1467100.3755413275</v>
      </c>
      <c r="L504" s="236"/>
      <c r="M504" s="237">
        <f>'MATRIZ COMPLETO PROPOSTA'!BD504+
 'MATRIZ COMPLETO PROPOSTA'!BA504+
 'MATRIZ COMPLETO PROPOSTA'!AX504+
 'MATRIZ COMPLETO PROPOSTA'!AS504+
 'MATRIZ COMPLETO PROPOSTA'!AM504</f>
        <v>369008.58226633974</v>
      </c>
      <c r="N504" s="236"/>
      <c r="O504" s="237"/>
      <c r="P504" s="236"/>
      <c r="Q504" s="243"/>
    </row>
    <row r="505" spans="2:17" x14ac:dyDescent="0.3">
      <c r="B505" s="230" t="s">
        <v>608</v>
      </c>
      <c r="C505" s="230" t="s">
        <v>611</v>
      </c>
      <c r="D505" s="230" t="s">
        <v>94</v>
      </c>
      <c r="G505" s="200">
        <f ca="1">'MATRIZ COMPLETO PROPOSTA'!H505</f>
        <v>1734055.4232886732</v>
      </c>
      <c r="H505" s="200"/>
      <c r="I505" s="200"/>
      <c r="J505" s="200"/>
      <c r="K505" s="200">
        <f t="shared" ca="1" si="26"/>
        <v>1734055.4232886732</v>
      </c>
      <c r="M505" s="200">
        <f>'MATRIZ COMPLETO PROPOSTA'!BD505+
 'MATRIZ COMPLETO PROPOSTA'!BA505+
 'MATRIZ COMPLETO PROPOSTA'!AX505+
 'MATRIZ COMPLETO PROPOSTA'!AS505+
 'MATRIZ COMPLETO PROPOSTA'!AM505</f>
        <v>457062.88250118005</v>
      </c>
      <c r="O505" s="200"/>
      <c r="Q505" s="240"/>
    </row>
    <row r="506" spans="2:17" x14ac:dyDescent="0.3">
      <c r="B506" s="235" t="s">
        <v>608</v>
      </c>
      <c r="C506" s="235" t="s">
        <v>612</v>
      </c>
      <c r="D506" s="235" t="s">
        <v>94</v>
      </c>
      <c r="E506" s="236"/>
      <c r="F506" s="236"/>
      <c r="G506" s="237">
        <f ca="1">'MATRIZ COMPLETO PROPOSTA'!H506</f>
        <v>1301076.3512019143</v>
      </c>
      <c r="H506" s="237"/>
      <c r="I506" s="237"/>
      <c r="J506" s="237"/>
      <c r="K506" s="237">
        <f t="shared" ca="1" si="26"/>
        <v>1301076.3512019143</v>
      </c>
      <c r="L506" s="236"/>
      <c r="M506" s="237">
        <f>'MATRIZ COMPLETO PROPOSTA'!BD506+
 'MATRIZ COMPLETO PROPOSTA'!BA506+
 'MATRIZ COMPLETO PROPOSTA'!AX506+
 'MATRIZ COMPLETO PROPOSTA'!AS506+
 'MATRIZ COMPLETO PROPOSTA'!AM506</f>
        <v>485942.77165004786</v>
      </c>
      <c r="N506" s="236"/>
      <c r="O506" s="237"/>
      <c r="P506" s="236"/>
      <c r="Q506" s="243"/>
    </row>
    <row r="507" spans="2:17" x14ac:dyDescent="0.3">
      <c r="B507" s="230" t="s">
        <v>608</v>
      </c>
      <c r="C507" s="230" t="s">
        <v>613</v>
      </c>
      <c r="D507" s="230" t="s">
        <v>94</v>
      </c>
      <c r="G507" s="200">
        <f ca="1">'MATRIZ COMPLETO PROPOSTA'!H507</f>
        <v>1387181.1411128407</v>
      </c>
      <c r="H507" s="200"/>
      <c r="I507" s="200"/>
      <c r="J507" s="200"/>
      <c r="K507" s="200">
        <f t="shared" ca="1" si="26"/>
        <v>1387181.1411128407</v>
      </c>
      <c r="M507" s="200">
        <f>'MATRIZ COMPLETO PROPOSTA'!BD507+
 'MATRIZ COMPLETO PROPOSTA'!BA507+
 'MATRIZ COMPLETO PROPOSTA'!AX507+
 'MATRIZ COMPLETO PROPOSTA'!AS507+
 'MATRIZ COMPLETO PROPOSTA'!AM507</f>
        <v>492050.11537507322</v>
      </c>
      <c r="O507" s="200"/>
      <c r="Q507" s="240"/>
    </row>
    <row r="508" spans="2:17" x14ac:dyDescent="0.3">
      <c r="B508" s="235" t="s">
        <v>608</v>
      </c>
      <c r="C508" s="235" t="s">
        <v>614</v>
      </c>
      <c r="D508" s="235" t="s">
        <v>94</v>
      </c>
      <c r="E508" s="236"/>
      <c r="F508" s="236"/>
      <c r="G508" s="237">
        <f ca="1">'MATRIZ COMPLETO PROPOSTA'!H508</f>
        <v>2084313.2608209874</v>
      </c>
      <c r="H508" s="237"/>
      <c r="I508" s="237"/>
      <c r="J508" s="237"/>
      <c r="K508" s="237">
        <f t="shared" ca="1" si="26"/>
        <v>2084313.2608209874</v>
      </c>
      <c r="L508" s="236"/>
      <c r="M508" s="237">
        <f>'MATRIZ COMPLETO PROPOSTA'!BD508+
 'MATRIZ COMPLETO PROPOSTA'!BA508+
 'MATRIZ COMPLETO PROPOSTA'!AX508+
 'MATRIZ COMPLETO PROPOSTA'!AS508+
 'MATRIZ COMPLETO PROPOSTA'!AM508</f>
        <v>485019.72208578116</v>
      </c>
      <c r="N508" s="236"/>
      <c r="O508" s="237"/>
      <c r="P508" s="236"/>
      <c r="Q508" s="243"/>
    </row>
    <row r="509" spans="2:17" x14ac:dyDescent="0.3">
      <c r="B509" s="230" t="s">
        <v>608</v>
      </c>
      <c r="C509" s="230" t="s">
        <v>615</v>
      </c>
      <c r="D509" s="230" t="s">
        <v>94</v>
      </c>
      <c r="G509" s="200">
        <f ca="1">'MATRIZ COMPLETO PROPOSTA'!H509</f>
        <v>1591634.5410924114</v>
      </c>
      <c r="H509" s="200"/>
      <c r="I509" s="200"/>
      <c r="J509" s="200"/>
      <c r="K509" s="200">
        <f t="shared" ca="1" si="26"/>
        <v>1591634.5410924114</v>
      </c>
      <c r="M509" s="200">
        <f>'MATRIZ COMPLETO PROPOSTA'!BD509+
 'MATRIZ COMPLETO PROPOSTA'!BA509+
 'MATRIZ COMPLETO PROPOSTA'!AX509+
 'MATRIZ COMPLETO PROPOSTA'!AS509+
 'MATRIZ COMPLETO PROPOSTA'!AM509</f>
        <v>626336.74568643235</v>
      </c>
      <c r="O509" s="200"/>
      <c r="Q509" s="240"/>
    </row>
    <row r="510" spans="2:17" x14ac:dyDescent="0.3">
      <c r="B510" s="235" t="s">
        <v>608</v>
      </c>
      <c r="C510" s="235" t="s">
        <v>616</v>
      </c>
      <c r="D510" s="235" t="s">
        <v>94</v>
      </c>
      <c r="E510" s="236"/>
      <c r="F510" s="236"/>
      <c r="G510" s="237">
        <f ca="1">'MATRIZ COMPLETO PROPOSTA'!H510</f>
        <v>971985.50593034725</v>
      </c>
      <c r="H510" s="237"/>
      <c r="I510" s="237"/>
      <c r="J510" s="237"/>
      <c r="K510" s="237">
        <f t="shared" ca="1" si="26"/>
        <v>971985.50593034725</v>
      </c>
      <c r="L510" s="236"/>
      <c r="M510" s="237">
        <f>'MATRIZ COMPLETO PROPOSTA'!BD510+
 'MATRIZ COMPLETO PROPOSTA'!BA510+
 'MATRIZ COMPLETO PROPOSTA'!AX510+
 'MATRIZ COMPLETO PROPOSTA'!AS510+
 'MATRIZ COMPLETO PROPOSTA'!AM510</f>
        <v>436899.27886953135</v>
      </c>
      <c r="N510" s="236"/>
      <c r="O510" s="237"/>
      <c r="P510" s="236"/>
      <c r="Q510" s="243"/>
    </row>
    <row r="511" spans="2:17" x14ac:dyDescent="0.3">
      <c r="B511" s="230" t="s">
        <v>608</v>
      </c>
      <c r="C511" s="230" t="s">
        <v>617</v>
      </c>
      <c r="D511" s="230" t="s">
        <v>94</v>
      </c>
      <c r="G511" s="200">
        <f ca="1">'MATRIZ COMPLETO PROPOSTA'!H511</f>
        <v>13434808.842466271</v>
      </c>
      <c r="H511" s="200"/>
      <c r="I511" s="200"/>
      <c r="J511" s="200"/>
      <c r="K511" s="200">
        <f t="shared" ca="1" si="26"/>
        <v>13434808.842466271</v>
      </c>
      <c r="M511" s="200">
        <f>'MATRIZ COMPLETO PROPOSTA'!BD511+
 'MATRIZ COMPLETO PROPOSTA'!BA511+
 'MATRIZ COMPLETO PROPOSTA'!AX511+
 'MATRIZ COMPLETO PROPOSTA'!AS511+
 'MATRIZ COMPLETO PROPOSTA'!AM511</f>
        <v>885439.43518422369</v>
      </c>
      <c r="O511" s="200"/>
      <c r="Q511" s="240"/>
    </row>
    <row r="512" spans="2:17" x14ac:dyDescent="0.3">
      <c r="G512" s="200"/>
      <c r="H512" s="200"/>
      <c r="I512" s="200"/>
      <c r="J512" s="200"/>
      <c r="K512" s="200"/>
      <c r="M512" s="200"/>
      <c r="O512" s="200"/>
      <c r="Q512" s="240"/>
    </row>
    <row r="513" spans="2:17" x14ac:dyDescent="0.3">
      <c r="B513" s="231" t="s">
        <v>608</v>
      </c>
      <c r="C513" s="231" t="s">
        <v>618</v>
      </c>
      <c r="D513" s="232" t="s">
        <v>154</v>
      </c>
      <c r="E513" s="232"/>
      <c r="F513" s="232"/>
      <c r="G513" s="238">
        <f ca="1">SUM(G514:G528)</f>
        <v>21716852.105974153</v>
      </c>
      <c r="H513" s="238">
        <f>'MATRIZ COMPLETO PROPOSTA'!Y513</f>
        <v>2849130.7677947427</v>
      </c>
      <c r="I513" s="238">
        <f>'MATRIZ COMPLETO PROPOSTA'!AA513</f>
        <v>1035165.2926732189</v>
      </c>
      <c r="J513" s="238">
        <f>'MATRIZ COMPLETO PROPOSTA'!AC513</f>
        <v>1578959.8629572727</v>
      </c>
      <c r="K513" s="238">
        <f ca="1">SUM(G513:J513)</f>
        <v>27180108.029399388</v>
      </c>
      <c r="L513" s="232"/>
      <c r="M513" s="238">
        <f>SUM(M514:M528)</f>
        <v>5818696.3008913826</v>
      </c>
      <c r="N513" s="232"/>
      <c r="O513" s="238">
        <f ca="1">K513*'DADOS BASE'!$I$22</f>
        <v>40770.162044099081</v>
      </c>
      <c r="P513" s="232"/>
      <c r="Q513" s="241">
        <f ca="1">SUM(H513:J513)/K513</f>
        <v>0.20100199445550029</v>
      </c>
    </row>
    <row r="514" spans="2:17" x14ac:dyDescent="0.3">
      <c r="B514" s="233" t="s">
        <v>608</v>
      </c>
      <c r="C514" s="234" t="s">
        <v>156</v>
      </c>
      <c r="D514" s="234" t="s">
        <v>157</v>
      </c>
      <c r="E514" s="234"/>
      <c r="F514" s="234"/>
      <c r="G514" s="239">
        <f>('MATRIZ COMPLETO PROPOSTA'!L513+
  'MATRIZ COMPLETO PROPOSTA'!P513*0.25+
  'MATRIZ COMPLETO PROPOSTA'!S513*0.8)
 /
 ('MATRIZ COMPLETO PROPOSTA'!L11+
  'MATRIZ COMPLETO PROPOSTA'!P11*0.25+
  'MATRIZ COMPLETO PROPOSTA'!S11*0.8)
 *
 'DADOS BASE'!$J$93</f>
        <v>2412983.5673304619</v>
      </c>
      <c r="H514" s="239"/>
      <c r="I514" s="239"/>
      <c r="J514" s="239"/>
      <c r="K514" s="239">
        <f t="shared" ref="K514:K528" si="27">J514+I514+H514+G514</f>
        <v>2412983.5673304619</v>
      </c>
      <c r="L514" s="234"/>
      <c r="M514" s="239">
        <f>'MATRIZ COMPLETO PROPOSTA'!BD514+
 'MATRIZ COMPLETO PROPOSTA'!BA514+
 'MATRIZ COMPLETO PROPOSTA'!AX514+
 'MATRIZ COMPLETO PROPOSTA'!AS514+
 'MATRIZ COMPLETO PROPOSTA'!AM514</f>
        <v>0</v>
      </c>
      <c r="N514" s="234"/>
      <c r="O514" s="239"/>
      <c r="P514" s="234"/>
      <c r="Q514" s="242"/>
    </row>
    <row r="515" spans="2:17" x14ac:dyDescent="0.3">
      <c r="B515" s="230" t="s">
        <v>608</v>
      </c>
      <c r="C515" s="230" t="s">
        <v>619</v>
      </c>
      <c r="D515" s="230" t="s">
        <v>94</v>
      </c>
      <c r="G515" s="200">
        <f ca="1">'MATRIZ COMPLETO PROPOSTA'!H515</f>
        <v>1491460.6300388139</v>
      </c>
      <c r="H515" s="200"/>
      <c r="I515" s="200"/>
      <c r="J515" s="200"/>
      <c r="K515" s="200">
        <f t="shared" ca="1" si="27"/>
        <v>1491460.6300388139</v>
      </c>
      <c r="M515" s="200">
        <f>'MATRIZ COMPLETO PROPOSTA'!BD515+
 'MATRIZ COMPLETO PROPOSTA'!BA515+
 'MATRIZ COMPLETO PROPOSTA'!AX515+
 'MATRIZ COMPLETO PROPOSTA'!AS515+
 'MATRIZ COMPLETO PROPOSTA'!AM515</f>
        <v>423528.21581933217</v>
      </c>
      <c r="O515" s="200"/>
      <c r="Q515" s="240"/>
    </row>
    <row r="516" spans="2:17" x14ac:dyDescent="0.3">
      <c r="B516" s="235" t="s">
        <v>608</v>
      </c>
      <c r="C516" s="235" t="s">
        <v>620</v>
      </c>
      <c r="D516" s="235" t="s">
        <v>94</v>
      </c>
      <c r="E516" s="236"/>
      <c r="F516" s="236"/>
      <c r="G516" s="237">
        <f ca="1">'MATRIZ COMPLETO PROPOSTA'!H516</f>
        <v>986575.87892371078</v>
      </c>
      <c r="H516" s="237"/>
      <c r="I516" s="237"/>
      <c r="J516" s="237"/>
      <c r="K516" s="237">
        <f t="shared" ca="1" si="27"/>
        <v>986575.87892371078</v>
      </c>
      <c r="L516" s="236"/>
      <c r="M516" s="237">
        <f>'MATRIZ COMPLETO PROPOSTA'!BD516+
 'MATRIZ COMPLETO PROPOSTA'!BA516+
 'MATRIZ COMPLETO PROPOSTA'!AX516+
 'MATRIZ COMPLETO PROPOSTA'!AS516+
 'MATRIZ COMPLETO PROPOSTA'!AM516</f>
        <v>346235.35090000741</v>
      </c>
      <c r="N516" s="236"/>
      <c r="O516" s="237"/>
      <c r="P516" s="236"/>
      <c r="Q516" s="243"/>
    </row>
    <row r="517" spans="2:17" x14ac:dyDescent="0.3">
      <c r="B517" s="230" t="s">
        <v>608</v>
      </c>
      <c r="C517" s="230" t="s">
        <v>621</v>
      </c>
      <c r="D517" s="230" t="s">
        <v>94</v>
      </c>
      <c r="G517" s="200">
        <f ca="1">'MATRIZ COMPLETO PROPOSTA'!H517</f>
        <v>623903.68266823329</v>
      </c>
      <c r="H517" s="200"/>
      <c r="I517" s="200"/>
      <c r="J517" s="200"/>
      <c r="K517" s="200">
        <f t="shared" ca="1" si="27"/>
        <v>623903.68266823329</v>
      </c>
      <c r="M517" s="200">
        <f>'MATRIZ COMPLETO PROPOSTA'!BD517+
 'MATRIZ COMPLETO PROPOSTA'!BA517+
 'MATRIZ COMPLETO PROPOSTA'!AX517+
 'MATRIZ COMPLETO PROPOSTA'!AS517+
 'MATRIZ COMPLETO PROPOSTA'!AM517</f>
        <v>141837.00922139268</v>
      </c>
      <c r="O517" s="200"/>
      <c r="Q517" s="240"/>
    </row>
    <row r="518" spans="2:17" x14ac:dyDescent="0.3">
      <c r="B518" s="235" t="s">
        <v>608</v>
      </c>
      <c r="C518" s="235" t="s">
        <v>622</v>
      </c>
      <c r="D518" s="235" t="s">
        <v>94</v>
      </c>
      <c r="E518" s="236"/>
      <c r="F518" s="236"/>
      <c r="G518" s="237">
        <f ca="1">'MATRIZ COMPLETO PROPOSTA'!H518</f>
        <v>1698263.1794854393</v>
      </c>
      <c r="H518" s="237"/>
      <c r="I518" s="237"/>
      <c r="J518" s="237"/>
      <c r="K518" s="237">
        <f t="shared" ca="1" si="27"/>
        <v>1698263.1794854393</v>
      </c>
      <c r="L518" s="236"/>
      <c r="M518" s="237">
        <f>'MATRIZ COMPLETO PROPOSTA'!BD518+
 'MATRIZ COMPLETO PROPOSTA'!BA518+
 'MATRIZ COMPLETO PROPOSTA'!AX518+
 'MATRIZ COMPLETO PROPOSTA'!AS518+
 'MATRIZ COMPLETO PROPOSTA'!AM518</f>
        <v>485706.77863642183</v>
      </c>
      <c r="N518" s="236"/>
      <c r="O518" s="237"/>
      <c r="P518" s="236"/>
      <c r="Q518" s="243"/>
    </row>
    <row r="519" spans="2:17" x14ac:dyDescent="0.3">
      <c r="B519" s="230" t="s">
        <v>608</v>
      </c>
      <c r="C519" s="230" t="s">
        <v>623</v>
      </c>
      <c r="D519" s="230" t="s">
        <v>94</v>
      </c>
      <c r="G519" s="200">
        <f ca="1">'MATRIZ COMPLETO PROPOSTA'!H519</f>
        <v>843067.29188463488</v>
      </c>
      <c r="H519" s="200"/>
      <c r="I519" s="200"/>
      <c r="J519" s="200"/>
      <c r="K519" s="200">
        <f t="shared" ca="1" si="27"/>
        <v>843067.29188463488</v>
      </c>
      <c r="M519" s="200">
        <f>'MATRIZ COMPLETO PROPOSTA'!BD519+
 'MATRIZ COMPLETO PROPOSTA'!BA519+
 'MATRIZ COMPLETO PROPOSTA'!AX519+
 'MATRIZ COMPLETO PROPOSTA'!AS519+
 'MATRIZ COMPLETO PROPOSTA'!AM519</f>
        <v>183267.63151337174</v>
      </c>
      <c r="O519" s="200"/>
      <c r="Q519" s="240"/>
    </row>
    <row r="520" spans="2:17" x14ac:dyDescent="0.3">
      <c r="B520" s="235" t="s">
        <v>608</v>
      </c>
      <c r="C520" s="235" t="s">
        <v>624</v>
      </c>
      <c r="D520" s="235" t="s">
        <v>94</v>
      </c>
      <c r="E520" s="236"/>
      <c r="F520" s="236"/>
      <c r="G520" s="237">
        <f ca="1">'MATRIZ COMPLETO PROPOSTA'!H520</f>
        <v>1811328.1403565314</v>
      </c>
      <c r="H520" s="237"/>
      <c r="I520" s="237"/>
      <c r="J520" s="237"/>
      <c r="K520" s="237">
        <f t="shared" ca="1" si="27"/>
        <v>1811328.1403565314</v>
      </c>
      <c r="L520" s="236"/>
      <c r="M520" s="237">
        <f>'MATRIZ COMPLETO PROPOSTA'!BD520+
 'MATRIZ COMPLETO PROPOSTA'!BA520+
 'MATRIZ COMPLETO PROPOSTA'!AX520+
 'MATRIZ COMPLETO PROPOSTA'!AS520+
 'MATRIZ COMPLETO PROPOSTA'!AM520</f>
        <v>556181.41767714417</v>
      </c>
      <c r="N520" s="236"/>
      <c r="O520" s="237"/>
      <c r="P520" s="236"/>
      <c r="Q520" s="243"/>
    </row>
    <row r="521" spans="2:17" x14ac:dyDescent="0.3">
      <c r="B521" s="230" t="s">
        <v>608</v>
      </c>
      <c r="C521" s="230" t="s">
        <v>625</v>
      </c>
      <c r="D521" s="230" t="s">
        <v>94</v>
      </c>
      <c r="G521" s="200">
        <f ca="1">'MATRIZ COMPLETO PROPOSTA'!H521</f>
        <v>764941.66426230886</v>
      </c>
      <c r="H521" s="200"/>
      <c r="I521" s="200"/>
      <c r="J521" s="200"/>
      <c r="K521" s="200">
        <f t="shared" ca="1" si="27"/>
        <v>764941.66426230886</v>
      </c>
      <c r="M521" s="200">
        <f>'MATRIZ COMPLETO PROPOSTA'!BD521+
 'MATRIZ COMPLETO PROPOSTA'!BA521+
 'MATRIZ COMPLETO PROPOSTA'!AX521+
 'MATRIZ COMPLETO PROPOSTA'!AS521+
 'MATRIZ COMPLETO PROPOSTA'!AM521</f>
        <v>283324.06239100039</v>
      </c>
      <c r="O521" s="200"/>
      <c r="Q521" s="240"/>
    </row>
    <row r="522" spans="2:17" x14ac:dyDescent="0.3">
      <c r="B522" s="235" t="s">
        <v>608</v>
      </c>
      <c r="C522" s="235" t="s">
        <v>626</v>
      </c>
      <c r="D522" s="235" t="s">
        <v>94</v>
      </c>
      <c r="E522" s="236"/>
      <c r="F522" s="236"/>
      <c r="G522" s="237">
        <f ca="1">'MATRIZ COMPLETO PROPOSTA'!H522</f>
        <v>691100.080050866</v>
      </c>
      <c r="H522" s="237"/>
      <c r="I522" s="237"/>
      <c r="J522" s="237"/>
      <c r="K522" s="237">
        <f t="shared" ca="1" si="27"/>
        <v>691100.080050866</v>
      </c>
      <c r="L522" s="236"/>
      <c r="M522" s="237">
        <f>'MATRIZ COMPLETO PROPOSTA'!BD522+
 'MATRIZ COMPLETO PROPOSTA'!BA522+
 'MATRIZ COMPLETO PROPOSTA'!AX522+
 'MATRIZ COMPLETO PROPOSTA'!AS522+
 'MATRIZ COMPLETO PROPOSTA'!AM522</f>
        <v>188499.75673380107</v>
      </c>
      <c r="N522" s="236"/>
      <c r="O522" s="237"/>
      <c r="P522" s="236"/>
      <c r="Q522" s="243"/>
    </row>
    <row r="523" spans="2:17" x14ac:dyDescent="0.3">
      <c r="B523" s="230" t="s">
        <v>608</v>
      </c>
      <c r="C523" s="230" t="s">
        <v>627</v>
      </c>
      <c r="D523" s="230" t="s">
        <v>94</v>
      </c>
      <c r="G523" s="200">
        <f ca="1">'MATRIZ COMPLETO PROPOSTA'!H523</f>
        <v>3104163.1128202528</v>
      </c>
      <c r="H523" s="200"/>
      <c r="I523" s="200"/>
      <c r="J523" s="200"/>
      <c r="K523" s="200">
        <f t="shared" ca="1" si="27"/>
        <v>3104163.1128202528</v>
      </c>
      <c r="M523" s="200">
        <f>'MATRIZ COMPLETO PROPOSTA'!BD523+
 'MATRIZ COMPLETO PROPOSTA'!BA523+
 'MATRIZ COMPLETO PROPOSTA'!AX523+
 'MATRIZ COMPLETO PROPOSTA'!AS523+
 'MATRIZ COMPLETO PROPOSTA'!AM523</f>
        <v>1002384.1059085617</v>
      </c>
      <c r="O523" s="200"/>
      <c r="Q523" s="240"/>
    </row>
    <row r="524" spans="2:17" x14ac:dyDescent="0.3">
      <c r="B524" s="235" t="s">
        <v>608</v>
      </c>
      <c r="C524" s="235" t="s">
        <v>628</v>
      </c>
      <c r="D524" s="235" t="s">
        <v>94</v>
      </c>
      <c r="E524" s="236"/>
      <c r="F524" s="236"/>
      <c r="G524" s="237">
        <f ca="1">'MATRIZ COMPLETO PROPOSTA'!H524</f>
        <v>1574359.4623552274</v>
      </c>
      <c r="H524" s="237"/>
      <c r="I524" s="237"/>
      <c r="J524" s="237"/>
      <c r="K524" s="237">
        <f t="shared" ca="1" si="27"/>
        <v>1574359.4623552274</v>
      </c>
      <c r="L524" s="236"/>
      <c r="M524" s="237">
        <f>'MATRIZ COMPLETO PROPOSTA'!BD524+
 'MATRIZ COMPLETO PROPOSTA'!BA524+
 'MATRIZ COMPLETO PROPOSTA'!AX524+
 'MATRIZ COMPLETO PROPOSTA'!AS524+
 'MATRIZ COMPLETO PROPOSTA'!AM524</f>
        <v>411335.96769867465</v>
      </c>
      <c r="N524" s="236"/>
      <c r="O524" s="237"/>
      <c r="P524" s="236"/>
      <c r="Q524" s="243"/>
    </row>
    <row r="525" spans="2:17" x14ac:dyDescent="0.3">
      <c r="B525" s="230" t="s">
        <v>608</v>
      </c>
      <c r="C525" s="230" t="s">
        <v>629</v>
      </c>
      <c r="D525" s="230" t="s">
        <v>94</v>
      </c>
      <c r="G525" s="200">
        <f ca="1">'MATRIZ COMPLETO PROPOSTA'!H525</f>
        <v>1686644.0710244703</v>
      </c>
      <c r="H525" s="200"/>
      <c r="I525" s="200"/>
      <c r="J525" s="200"/>
      <c r="K525" s="200">
        <f t="shared" ca="1" si="27"/>
        <v>1686644.0710244703</v>
      </c>
      <c r="M525" s="200">
        <f>'MATRIZ COMPLETO PROPOSTA'!BD525+
 'MATRIZ COMPLETO PROPOSTA'!BA525+
 'MATRIZ COMPLETO PROPOSTA'!AX525+
 'MATRIZ COMPLETO PROPOSTA'!AS525+
 'MATRIZ COMPLETO PROPOSTA'!AM525</f>
        <v>616518.5752808192</v>
      </c>
      <c r="O525" s="200"/>
      <c r="Q525" s="240"/>
    </row>
    <row r="526" spans="2:17" x14ac:dyDescent="0.3">
      <c r="B526" s="235" t="s">
        <v>608</v>
      </c>
      <c r="C526" s="235" t="s">
        <v>630</v>
      </c>
      <c r="D526" s="235" t="s">
        <v>94</v>
      </c>
      <c r="E526" s="236"/>
      <c r="F526" s="236"/>
      <c r="G526" s="237">
        <f ca="1">'MATRIZ COMPLETO PROPOSTA'!H526</f>
        <v>1539101.3659114961</v>
      </c>
      <c r="H526" s="237"/>
      <c r="I526" s="237"/>
      <c r="J526" s="237"/>
      <c r="K526" s="237">
        <f t="shared" ca="1" si="27"/>
        <v>1539101.3659114961</v>
      </c>
      <c r="L526" s="236"/>
      <c r="M526" s="237">
        <f>'MATRIZ COMPLETO PROPOSTA'!BD526+
 'MATRIZ COMPLETO PROPOSTA'!BA526+
 'MATRIZ COMPLETO PROPOSTA'!AX526+
 'MATRIZ COMPLETO PROPOSTA'!AS526+
 'MATRIZ COMPLETO PROPOSTA'!AM526</f>
        <v>494453.34398844093</v>
      </c>
      <c r="N526" s="236"/>
      <c r="O526" s="237"/>
      <c r="P526" s="236"/>
      <c r="Q526" s="243"/>
    </row>
    <row r="527" spans="2:17" x14ac:dyDescent="0.3">
      <c r="B527" s="230" t="s">
        <v>608</v>
      </c>
      <c r="C527" s="230" t="s">
        <v>631</v>
      </c>
      <c r="D527" s="230" t="s">
        <v>94</v>
      </c>
      <c r="G527" s="200">
        <f ca="1">'MATRIZ COMPLETO PROPOSTA'!H527</f>
        <v>549205.27872886974</v>
      </c>
      <c r="H527" s="200"/>
      <c r="I527" s="200"/>
      <c r="J527" s="200"/>
      <c r="K527" s="200">
        <f t="shared" ca="1" si="27"/>
        <v>549205.27872886974</v>
      </c>
      <c r="M527" s="200">
        <f>'MATRIZ COMPLETO PROPOSTA'!BD527+
 'MATRIZ COMPLETO PROPOSTA'!BA527+
 'MATRIZ COMPLETO PROPOSTA'!AX527+
 'MATRIZ COMPLETO PROPOSTA'!AS527+
 'MATRIZ COMPLETO PROPOSTA'!AM527</f>
        <v>126465.66168445136</v>
      </c>
      <c r="O527" s="200"/>
      <c r="Q527" s="240"/>
    </row>
    <row r="528" spans="2:17" x14ac:dyDescent="0.3">
      <c r="B528" s="235" t="s">
        <v>608</v>
      </c>
      <c r="C528" s="235" t="s">
        <v>632</v>
      </c>
      <c r="D528" s="235" t="s">
        <v>94</v>
      </c>
      <c r="E528" s="236"/>
      <c r="F528" s="236"/>
      <c r="G528" s="237">
        <f ca="1">'MATRIZ COMPLETO PROPOSTA'!H528</f>
        <v>1939754.7001328385</v>
      </c>
      <c r="H528" s="237"/>
      <c r="I528" s="237"/>
      <c r="J528" s="237"/>
      <c r="K528" s="237">
        <f t="shared" ca="1" si="27"/>
        <v>1939754.7001328385</v>
      </c>
      <c r="L528" s="236"/>
      <c r="M528" s="237">
        <f>'MATRIZ COMPLETO PROPOSTA'!BD528+
 'MATRIZ COMPLETO PROPOSTA'!BA528+
 'MATRIZ COMPLETO PROPOSTA'!AX528+
 'MATRIZ COMPLETO PROPOSTA'!AS528+
 'MATRIZ COMPLETO PROPOSTA'!AM528</f>
        <v>558958.42343796277</v>
      </c>
      <c r="N528" s="236"/>
      <c r="O528" s="237"/>
      <c r="P528" s="236"/>
      <c r="Q528" s="243"/>
    </row>
    <row r="529" spans="2:17" x14ac:dyDescent="0.3">
      <c r="G529" s="200"/>
      <c r="H529" s="200"/>
      <c r="I529" s="200"/>
      <c r="J529" s="200"/>
      <c r="K529" s="200"/>
      <c r="M529" s="200"/>
      <c r="O529" s="200"/>
      <c r="Q529" s="240"/>
    </row>
    <row r="530" spans="2:17" x14ac:dyDescent="0.3">
      <c r="B530" s="231" t="s">
        <v>608</v>
      </c>
      <c r="C530" s="231" t="s">
        <v>633</v>
      </c>
      <c r="D530" s="232" t="s">
        <v>154</v>
      </c>
      <c r="E530" s="232"/>
      <c r="F530" s="232"/>
      <c r="G530" s="238">
        <f ca="1">SUM(G531:G546)</f>
        <v>26861557.040049456</v>
      </c>
      <c r="H530" s="238">
        <f>'MATRIZ COMPLETO PROPOSTA'!Y530</f>
        <v>1090766.4172683358</v>
      </c>
      <c r="I530" s="238">
        <f>'MATRIZ COMPLETO PROPOSTA'!AA530</f>
        <v>442146.46293950354</v>
      </c>
      <c r="J530" s="238">
        <f>'MATRIZ COMPLETO PROPOSTA'!AC530</f>
        <v>3302043.5272323545</v>
      </c>
      <c r="K530" s="238">
        <f ca="1">SUM(G530:J530)</f>
        <v>31696513.447489649</v>
      </c>
      <c r="L530" s="232"/>
      <c r="M530" s="238">
        <f>SUM(M531:M546)</f>
        <v>7013725.9943983983</v>
      </c>
      <c r="N530" s="232"/>
      <c r="O530" s="238">
        <f ca="1">K530*'DADOS BASE'!$I$22</f>
        <v>47544.770171234471</v>
      </c>
      <c r="P530" s="232"/>
      <c r="Q530" s="241">
        <f ca="1">SUM(H530:J530)/K530</f>
        <v>0.15253906128981895</v>
      </c>
    </row>
    <row r="531" spans="2:17" x14ac:dyDescent="0.3">
      <c r="B531" s="233" t="s">
        <v>608</v>
      </c>
      <c r="C531" s="234" t="s">
        <v>156</v>
      </c>
      <c r="D531" s="234" t="s">
        <v>157</v>
      </c>
      <c r="E531" s="234"/>
      <c r="F531" s="234"/>
      <c r="G531" s="239">
        <f>('MATRIZ COMPLETO PROPOSTA'!L530+
  'MATRIZ COMPLETO PROPOSTA'!P530*0.25+
  'MATRIZ COMPLETO PROPOSTA'!S530*0.8)
 /
 ('MATRIZ COMPLETO PROPOSTA'!L11+
  'MATRIZ COMPLETO PROPOSTA'!P11*0.25+
  'MATRIZ COMPLETO PROPOSTA'!S11*0.8)
 *
 'DADOS BASE'!$J$93</f>
        <v>2857189.8080479987</v>
      </c>
      <c r="H531" s="239"/>
      <c r="I531" s="239"/>
      <c r="J531" s="239"/>
      <c r="K531" s="239">
        <f t="shared" ref="K531:K546" si="28">J531+I531+H531+G531</f>
        <v>2857189.8080479987</v>
      </c>
      <c r="L531" s="234"/>
      <c r="M531" s="239">
        <f>'MATRIZ COMPLETO PROPOSTA'!BD531+
 'MATRIZ COMPLETO PROPOSTA'!BA531+
 'MATRIZ COMPLETO PROPOSTA'!AX531+
 'MATRIZ COMPLETO PROPOSTA'!AS531+
 'MATRIZ COMPLETO PROPOSTA'!AM531</f>
        <v>0</v>
      </c>
      <c r="N531" s="234"/>
      <c r="O531" s="239"/>
      <c r="P531" s="234"/>
      <c r="Q531" s="242"/>
    </row>
    <row r="532" spans="2:17" x14ac:dyDescent="0.3">
      <c r="B532" s="235" t="s">
        <v>608</v>
      </c>
      <c r="C532" s="235" t="s">
        <v>634</v>
      </c>
      <c r="D532" s="235" t="s">
        <v>94</v>
      </c>
      <c r="E532" s="236"/>
      <c r="F532" s="236"/>
      <c r="G532" s="237">
        <f ca="1">'MATRIZ COMPLETO PROPOSTA'!H532</f>
        <v>792743.10134521441</v>
      </c>
      <c r="H532" s="237"/>
      <c r="I532" s="237"/>
      <c r="J532" s="237"/>
      <c r="K532" s="237">
        <f t="shared" ca="1" si="28"/>
        <v>792743.10134521441</v>
      </c>
      <c r="L532" s="236"/>
      <c r="M532" s="237">
        <f>'MATRIZ COMPLETO PROPOSTA'!BD532+
 'MATRIZ COMPLETO PROPOSTA'!BA532+
 'MATRIZ COMPLETO PROPOSTA'!AX532+
 'MATRIZ COMPLETO PROPOSTA'!AS532+
 'MATRIZ COMPLETO PROPOSTA'!AM532</f>
        <v>294253.10615085089</v>
      </c>
      <c r="N532" s="236"/>
      <c r="O532" s="237"/>
      <c r="P532" s="236"/>
      <c r="Q532" s="243"/>
    </row>
    <row r="533" spans="2:17" x14ac:dyDescent="0.3">
      <c r="B533" s="230" t="s">
        <v>608</v>
      </c>
      <c r="C533" s="230" t="s">
        <v>635</v>
      </c>
      <c r="D533" s="230" t="s">
        <v>98</v>
      </c>
      <c r="G533" s="200">
        <f ca="1">'MATRIZ COMPLETO PROPOSTA'!H533</f>
        <v>42846.906612864375</v>
      </c>
      <c r="H533" s="200"/>
      <c r="I533" s="200"/>
      <c r="J533" s="200"/>
      <c r="K533" s="200">
        <f t="shared" ca="1" si="28"/>
        <v>42846.906612864375</v>
      </c>
      <c r="M533" s="200">
        <f>'MATRIZ COMPLETO PROPOSTA'!BD533+
 'MATRIZ COMPLETO PROPOSTA'!BA533+
 'MATRIZ COMPLETO PROPOSTA'!AX533+
 'MATRIZ COMPLETO PROPOSTA'!AS533+
 'MATRIZ COMPLETO PROPOSTA'!AM533</f>
        <v>6135.6729445177898</v>
      </c>
      <c r="O533" s="200"/>
      <c r="Q533" s="240"/>
    </row>
    <row r="534" spans="2:17" x14ac:dyDescent="0.3">
      <c r="B534" s="235" t="s">
        <v>608</v>
      </c>
      <c r="C534" s="235" t="s">
        <v>636</v>
      </c>
      <c r="D534" s="235" t="s">
        <v>98</v>
      </c>
      <c r="E534" s="236"/>
      <c r="F534" s="236"/>
      <c r="G534" s="237">
        <f ca="1">'MATRIZ COMPLETO PROPOSTA'!H534</f>
        <v>303708.63440978772</v>
      </c>
      <c r="H534" s="237"/>
      <c r="I534" s="237"/>
      <c r="J534" s="237"/>
      <c r="K534" s="237">
        <f t="shared" ca="1" si="28"/>
        <v>303708.63440978772</v>
      </c>
      <c r="L534" s="236"/>
      <c r="M534" s="237">
        <f>'MATRIZ COMPLETO PROPOSTA'!BD534+
 'MATRIZ COMPLETO PROPOSTA'!BA534+
 'MATRIZ COMPLETO PROPOSTA'!AX534+
 'MATRIZ COMPLETO PROPOSTA'!AS534+
 'MATRIZ COMPLETO PROPOSTA'!AM534</f>
        <v>129823.75336041897</v>
      </c>
      <c r="N534" s="236"/>
      <c r="O534" s="237"/>
      <c r="P534" s="236"/>
      <c r="Q534" s="243"/>
    </row>
    <row r="535" spans="2:17" x14ac:dyDescent="0.3">
      <c r="B535" s="230" t="s">
        <v>608</v>
      </c>
      <c r="C535" s="230" t="s">
        <v>637</v>
      </c>
      <c r="D535" s="230" t="s">
        <v>94</v>
      </c>
      <c r="G535" s="200">
        <f ca="1">'MATRIZ COMPLETO PROPOSTA'!H535</f>
        <v>700000</v>
      </c>
      <c r="H535" s="200"/>
      <c r="I535" s="200"/>
      <c r="J535" s="200"/>
      <c r="K535" s="200">
        <f t="shared" ca="1" si="28"/>
        <v>700000</v>
      </c>
      <c r="M535" s="200">
        <f>'MATRIZ COMPLETO PROPOSTA'!BD535+
 'MATRIZ COMPLETO PROPOSTA'!BA535+
 'MATRIZ COMPLETO PROPOSTA'!AX535+
 'MATRIZ COMPLETO PROPOSTA'!AS535+
 'MATRIZ COMPLETO PROPOSTA'!AM535</f>
        <v>46426.32167880534</v>
      </c>
      <c r="O535" s="200"/>
      <c r="Q535" s="240"/>
    </row>
    <row r="536" spans="2:17" x14ac:dyDescent="0.3">
      <c r="B536" s="235" t="s">
        <v>608</v>
      </c>
      <c r="C536" s="235" t="s">
        <v>638</v>
      </c>
      <c r="D536" s="235" t="s">
        <v>94</v>
      </c>
      <c r="E536" s="236"/>
      <c r="F536" s="236"/>
      <c r="G536" s="237">
        <f ca="1">'MATRIZ COMPLETO PROPOSTA'!H536</f>
        <v>2700855.3162397272</v>
      </c>
      <c r="H536" s="237"/>
      <c r="I536" s="237"/>
      <c r="J536" s="237"/>
      <c r="K536" s="237">
        <f t="shared" ca="1" si="28"/>
        <v>2700855.3162397272</v>
      </c>
      <c r="L536" s="236"/>
      <c r="M536" s="237">
        <f>'MATRIZ COMPLETO PROPOSTA'!BD536+
 'MATRIZ COMPLETO PROPOSTA'!BA536+
 'MATRIZ COMPLETO PROPOSTA'!AX536+
 'MATRIZ COMPLETO PROPOSTA'!AS536+
 'MATRIZ COMPLETO PROPOSTA'!AM536</f>
        <v>810019.58782181772</v>
      </c>
      <c r="N536" s="236"/>
      <c r="O536" s="237"/>
      <c r="P536" s="236"/>
      <c r="Q536" s="243"/>
    </row>
    <row r="537" spans="2:17" x14ac:dyDescent="0.3">
      <c r="B537" s="230" t="s">
        <v>608</v>
      </c>
      <c r="C537" s="230" t="s">
        <v>639</v>
      </c>
      <c r="D537" s="230" t="s">
        <v>94</v>
      </c>
      <c r="G537" s="200">
        <f ca="1">'MATRIZ COMPLETO PROPOSTA'!H537</f>
        <v>507799.25402344693</v>
      </c>
      <c r="H537" s="200"/>
      <c r="I537" s="200"/>
      <c r="J537" s="200"/>
      <c r="K537" s="200">
        <f t="shared" ca="1" si="28"/>
        <v>507799.25402344693</v>
      </c>
      <c r="M537" s="200">
        <f>'MATRIZ COMPLETO PROPOSTA'!BD537+
 'MATRIZ COMPLETO PROPOSTA'!BA537+
 'MATRIZ COMPLETO PROPOSTA'!AX537+
 'MATRIZ COMPLETO PROPOSTA'!AS537+
 'MATRIZ COMPLETO PROPOSTA'!AM537</f>
        <v>228791.34128199512</v>
      </c>
      <c r="O537" s="200"/>
      <c r="Q537" s="240"/>
    </row>
    <row r="538" spans="2:17" x14ac:dyDescent="0.3">
      <c r="B538" s="235" t="s">
        <v>608</v>
      </c>
      <c r="C538" s="235" t="s">
        <v>640</v>
      </c>
      <c r="D538" s="235" t="s">
        <v>94</v>
      </c>
      <c r="E538" s="236"/>
      <c r="F538" s="236"/>
      <c r="G538" s="237">
        <f ca="1">'MATRIZ COMPLETO PROPOSTA'!H538</f>
        <v>4355556.9865470752</v>
      </c>
      <c r="H538" s="237"/>
      <c r="I538" s="237"/>
      <c r="J538" s="237"/>
      <c r="K538" s="237">
        <f t="shared" ca="1" si="28"/>
        <v>4355556.9865470752</v>
      </c>
      <c r="L538" s="236"/>
      <c r="M538" s="237">
        <f>'MATRIZ COMPLETO PROPOSTA'!BD538+
 'MATRIZ COMPLETO PROPOSTA'!BA538+
 'MATRIZ COMPLETO PROPOSTA'!AX538+
 'MATRIZ COMPLETO PROPOSTA'!AS538+
 'MATRIZ COMPLETO PROPOSTA'!AM538</f>
        <v>1203104.3960128482</v>
      </c>
      <c r="N538" s="236"/>
      <c r="O538" s="237"/>
      <c r="P538" s="236"/>
      <c r="Q538" s="243"/>
    </row>
    <row r="539" spans="2:17" x14ac:dyDescent="0.3">
      <c r="B539" s="230" t="s">
        <v>608</v>
      </c>
      <c r="C539" s="230" t="s">
        <v>625</v>
      </c>
      <c r="D539" s="230" t="s">
        <v>94</v>
      </c>
      <c r="G539" s="200">
        <f ca="1">'MATRIZ COMPLETO PROPOSTA'!H539</f>
        <v>700000</v>
      </c>
      <c r="H539" s="200"/>
      <c r="I539" s="200"/>
      <c r="J539" s="200"/>
      <c r="K539" s="200">
        <f t="shared" ca="1" si="28"/>
        <v>700000</v>
      </c>
      <c r="M539" s="200">
        <f>'MATRIZ COMPLETO PROPOSTA'!BD539+
 'MATRIZ COMPLETO PROPOSTA'!BA539+
 'MATRIZ COMPLETO PROPOSTA'!AX539+
 'MATRIZ COMPLETO PROPOSTA'!AS539+
 'MATRIZ COMPLETO PROPOSTA'!AM539</f>
        <v>214146.54516582319</v>
      </c>
      <c r="O539" s="200"/>
      <c r="Q539" s="240"/>
    </row>
    <row r="540" spans="2:17" x14ac:dyDescent="0.3">
      <c r="B540" s="235" t="s">
        <v>608</v>
      </c>
      <c r="C540" s="235" t="s">
        <v>641</v>
      </c>
      <c r="D540" s="235" t="s">
        <v>94</v>
      </c>
      <c r="E540" s="236"/>
      <c r="F540" s="236"/>
      <c r="G540" s="237">
        <f ca="1">'MATRIZ COMPLETO PROPOSTA'!H540</f>
        <v>2709569.266984209</v>
      </c>
      <c r="H540" s="237"/>
      <c r="I540" s="237"/>
      <c r="J540" s="237"/>
      <c r="K540" s="237">
        <f t="shared" ca="1" si="28"/>
        <v>2709569.266984209</v>
      </c>
      <c r="L540" s="236"/>
      <c r="M540" s="237">
        <f>'MATRIZ COMPLETO PROPOSTA'!BD540+
 'MATRIZ COMPLETO PROPOSTA'!BA540+
 'MATRIZ COMPLETO PROPOSTA'!AX540+
 'MATRIZ COMPLETO PROPOSTA'!AS540+
 'MATRIZ COMPLETO PROPOSTA'!AM540</f>
        <v>896429.57182002161</v>
      </c>
      <c r="N540" s="236"/>
      <c r="O540" s="237"/>
      <c r="P540" s="236"/>
      <c r="Q540" s="243"/>
    </row>
    <row r="541" spans="2:17" x14ac:dyDescent="0.3">
      <c r="B541" s="230" t="s">
        <v>608</v>
      </c>
      <c r="C541" s="230" t="s">
        <v>642</v>
      </c>
      <c r="D541" s="230" t="s">
        <v>92</v>
      </c>
      <c r="G541" s="200">
        <f ca="1">'MATRIZ COMPLETO PROPOSTA'!H541</f>
        <v>2307040.7434098474</v>
      </c>
      <c r="H541" s="200"/>
      <c r="I541" s="200"/>
      <c r="J541" s="200"/>
      <c r="K541" s="200">
        <f t="shared" ca="1" si="28"/>
        <v>2307040.7434098474</v>
      </c>
      <c r="M541" s="200">
        <f>'MATRIZ COMPLETO PROPOSTA'!BD541+
 'MATRIZ COMPLETO PROPOSTA'!BA541+
 'MATRIZ COMPLETO PROPOSTA'!AX541+
 'MATRIZ COMPLETO PROPOSTA'!AS541+
 'MATRIZ COMPLETO PROPOSTA'!AM541</f>
        <v>899288.633491977</v>
      </c>
      <c r="O541" s="200"/>
      <c r="Q541" s="240"/>
    </row>
    <row r="542" spans="2:17" x14ac:dyDescent="0.3">
      <c r="B542" s="235" t="s">
        <v>608</v>
      </c>
      <c r="C542" s="235" t="s">
        <v>643</v>
      </c>
      <c r="D542" s="235" t="s">
        <v>94</v>
      </c>
      <c r="E542" s="236"/>
      <c r="F542" s="236"/>
      <c r="G542" s="237">
        <f ca="1">'MATRIZ COMPLETO PROPOSTA'!H542</f>
        <v>1637312.6541501083</v>
      </c>
      <c r="H542" s="237"/>
      <c r="I542" s="237"/>
      <c r="J542" s="237"/>
      <c r="K542" s="237">
        <f t="shared" ca="1" si="28"/>
        <v>1637312.6541501083</v>
      </c>
      <c r="L542" s="236"/>
      <c r="M542" s="237">
        <f>'MATRIZ COMPLETO PROPOSTA'!BD542+
 'MATRIZ COMPLETO PROPOSTA'!BA542+
 'MATRIZ COMPLETO PROPOSTA'!AX542+
 'MATRIZ COMPLETO PROPOSTA'!AS542+
 'MATRIZ COMPLETO PROPOSTA'!AM542</f>
        <v>420223.97665264597</v>
      </c>
      <c r="N542" s="236"/>
      <c r="O542" s="237"/>
      <c r="P542" s="236"/>
      <c r="Q542" s="243"/>
    </row>
    <row r="543" spans="2:17" x14ac:dyDescent="0.3">
      <c r="B543" s="230" t="s">
        <v>608</v>
      </c>
      <c r="C543" s="230" t="s">
        <v>644</v>
      </c>
      <c r="D543" s="230" t="s">
        <v>94</v>
      </c>
      <c r="G543" s="200">
        <f ca="1">'MATRIZ COMPLETO PROPOSTA'!H543</f>
        <v>3296941.6990443193</v>
      </c>
      <c r="H543" s="200"/>
      <c r="I543" s="200"/>
      <c r="J543" s="200"/>
      <c r="K543" s="200">
        <f t="shared" ca="1" si="28"/>
        <v>3296941.6990443193</v>
      </c>
      <c r="M543" s="200">
        <f>'MATRIZ COMPLETO PROPOSTA'!BD543+
 'MATRIZ COMPLETO PROPOSTA'!BA543+
 'MATRIZ COMPLETO PROPOSTA'!AX543+
 'MATRIZ COMPLETO PROPOSTA'!AS543+
 'MATRIZ COMPLETO PROPOSTA'!AM543</f>
        <v>826267.7411001859</v>
      </c>
      <c r="O543" s="200"/>
      <c r="Q543" s="240"/>
    </row>
    <row r="544" spans="2:17" x14ac:dyDescent="0.3">
      <c r="B544" s="235" t="s">
        <v>608</v>
      </c>
      <c r="C544" s="235" t="s">
        <v>645</v>
      </c>
      <c r="D544" s="235" t="s">
        <v>94</v>
      </c>
      <c r="E544" s="236"/>
      <c r="F544" s="236"/>
      <c r="G544" s="237">
        <f ca="1">'MATRIZ COMPLETO PROPOSTA'!H544</f>
        <v>1362634.3354407572</v>
      </c>
      <c r="H544" s="237"/>
      <c r="I544" s="237"/>
      <c r="J544" s="237"/>
      <c r="K544" s="237">
        <f t="shared" ca="1" si="28"/>
        <v>1362634.3354407572</v>
      </c>
      <c r="L544" s="236"/>
      <c r="M544" s="237">
        <f>'MATRIZ COMPLETO PROPOSTA'!BD544+
 'MATRIZ COMPLETO PROPOSTA'!BA544+
 'MATRIZ COMPLETO PROPOSTA'!AX544+
 'MATRIZ COMPLETO PROPOSTA'!AS544+
 'MATRIZ COMPLETO PROPOSTA'!AM544</f>
        <v>385583.74066335364</v>
      </c>
      <c r="N544" s="236"/>
      <c r="O544" s="237"/>
      <c r="P544" s="236"/>
      <c r="Q544" s="243"/>
    </row>
    <row r="545" spans="2:17" x14ac:dyDescent="0.3">
      <c r="B545" s="230" t="s">
        <v>608</v>
      </c>
      <c r="C545" s="230" t="s">
        <v>646</v>
      </c>
      <c r="D545" s="230" t="s">
        <v>94</v>
      </c>
      <c r="G545" s="200">
        <f ca="1">'MATRIZ COMPLETO PROPOSTA'!H545</f>
        <v>700000</v>
      </c>
      <c r="H545" s="200"/>
      <c r="I545" s="200"/>
      <c r="J545" s="200"/>
      <c r="K545" s="200">
        <f t="shared" ca="1" si="28"/>
        <v>700000</v>
      </c>
      <c r="M545" s="200">
        <f>'MATRIZ COMPLETO PROPOSTA'!BD545+
 'MATRIZ COMPLETO PROPOSTA'!BA545+
 'MATRIZ COMPLETO PROPOSTA'!AX545+
 'MATRIZ COMPLETO PROPOSTA'!AS545+
 'MATRIZ COMPLETO PROPOSTA'!AM545</f>
        <v>76978.374037302492</v>
      </c>
      <c r="O545" s="200"/>
      <c r="Q545" s="240"/>
    </row>
    <row r="546" spans="2:17" x14ac:dyDescent="0.3">
      <c r="B546" s="235" t="s">
        <v>608</v>
      </c>
      <c r="C546" s="235" t="s">
        <v>647</v>
      </c>
      <c r="D546" s="235" t="s">
        <v>94</v>
      </c>
      <c r="E546" s="236"/>
      <c r="F546" s="236"/>
      <c r="G546" s="237">
        <f ca="1">'MATRIZ COMPLETO PROPOSTA'!H546</f>
        <v>1887358.3337940995</v>
      </c>
      <c r="H546" s="237"/>
      <c r="I546" s="237"/>
      <c r="J546" s="237"/>
      <c r="K546" s="237">
        <f t="shared" ca="1" si="28"/>
        <v>1887358.3337940995</v>
      </c>
      <c r="L546" s="236"/>
      <c r="M546" s="237">
        <f>'MATRIZ COMPLETO PROPOSTA'!BD546+
 'MATRIZ COMPLETO PROPOSTA'!BA546+
 'MATRIZ COMPLETO PROPOSTA'!AX546+
 'MATRIZ COMPLETO PROPOSTA'!AS546+
 'MATRIZ COMPLETO PROPOSTA'!AM546</f>
        <v>576253.23221583432</v>
      </c>
      <c r="N546" s="236"/>
      <c r="O546" s="237"/>
      <c r="P546" s="236"/>
      <c r="Q546" s="243"/>
    </row>
    <row r="547" spans="2:17" x14ac:dyDescent="0.3">
      <c r="G547" s="200"/>
      <c r="H547" s="200"/>
      <c r="I547" s="200"/>
      <c r="J547" s="200"/>
      <c r="K547" s="200"/>
      <c r="M547" s="200"/>
      <c r="O547" s="200"/>
      <c r="Q547" s="240"/>
    </row>
    <row r="548" spans="2:17" x14ac:dyDescent="0.3">
      <c r="B548" s="231" t="s">
        <v>608</v>
      </c>
      <c r="C548" s="231" t="s">
        <v>648</v>
      </c>
      <c r="D548" s="232" t="s">
        <v>154</v>
      </c>
      <c r="E548" s="232"/>
      <c r="F548" s="232"/>
      <c r="G548" s="238">
        <f ca="1">SUM(G549:G562)</f>
        <v>32419936.520767462</v>
      </c>
      <c r="H548" s="238">
        <f>'MATRIZ COMPLETO PROPOSTA'!Y548</f>
        <v>714956.13904983352</v>
      </c>
      <c r="I548" s="238">
        <f>'MATRIZ COMPLETO PROPOSTA'!AA548</f>
        <v>1321323.0546133444</v>
      </c>
      <c r="J548" s="238">
        <f>'MATRIZ COMPLETO PROPOSTA'!AC548</f>
        <v>3236139.335141934</v>
      </c>
      <c r="K548" s="238">
        <f ca="1">SUM(G548:J548)</f>
        <v>37692355.049572572</v>
      </c>
      <c r="L548" s="232"/>
      <c r="M548" s="238">
        <f>SUM(M549:M562)</f>
        <v>9829351.0386803746</v>
      </c>
      <c r="N548" s="232"/>
      <c r="O548" s="238">
        <f ca="1">K548*'DADOS BASE'!$I$22</f>
        <v>56538.532574358862</v>
      </c>
      <c r="P548" s="232"/>
      <c r="Q548" s="241">
        <f ca="1">SUM(H548:J548)/K548</f>
        <v>0.13988031583250465</v>
      </c>
    </row>
    <row r="549" spans="2:17" x14ac:dyDescent="0.3">
      <c r="B549" s="233" t="s">
        <v>608</v>
      </c>
      <c r="C549" s="234" t="s">
        <v>156</v>
      </c>
      <c r="D549" s="234" t="s">
        <v>157</v>
      </c>
      <c r="E549" s="234"/>
      <c r="F549" s="234"/>
      <c r="G549" s="239">
        <f>('MATRIZ COMPLETO PROPOSTA'!L548+
  'MATRIZ COMPLETO PROPOSTA'!P548*0.25+
  'MATRIZ COMPLETO PROPOSTA'!S548*0.8)
 /
 ('MATRIZ COMPLETO PROPOSTA'!L11+
  'MATRIZ COMPLETO PROPOSTA'!P11*0.25+
  'MATRIZ COMPLETO PROPOSTA'!S11*0.8)
 *
 'DADOS BASE'!$J$93</f>
        <v>3524887.3609005744</v>
      </c>
      <c r="H549" s="239"/>
      <c r="I549" s="239"/>
      <c r="J549" s="239"/>
      <c r="K549" s="239">
        <f t="shared" ref="K549:K562" si="29">J549+I549+H549+G549</f>
        <v>3524887.3609005744</v>
      </c>
      <c r="L549" s="234"/>
      <c r="M549" s="239">
        <f>'MATRIZ COMPLETO PROPOSTA'!BD549+
 'MATRIZ COMPLETO PROPOSTA'!BA549+
 'MATRIZ COMPLETO PROPOSTA'!AX549+
 'MATRIZ COMPLETO PROPOSTA'!AS549+
 'MATRIZ COMPLETO PROPOSTA'!AM549</f>
        <v>0</v>
      </c>
      <c r="N549" s="234"/>
      <c r="O549" s="239"/>
      <c r="P549" s="234"/>
      <c r="Q549" s="242"/>
    </row>
    <row r="550" spans="2:17" x14ac:dyDescent="0.3">
      <c r="B550" s="235" t="s">
        <v>608</v>
      </c>
      <c r="C550" s="235" t="s">
        <v>649</v>
      </c>
      <c r="D550" s="235" t="s">
        <v>96</v>
      </c>
      <c r="E550" s="236"/>
      <c r="F550" s="236"/>
      <c r="G550" s="237">
        <f ca="1">'MATRIZ COMPLETO PROPOSTA'!H550</f>
        <v>696503.33464391832</v>
      </c>
      <c r="H550" s="237"/>
      <c r="I550" s="237"/>
      <c r="J550" s="237"/>
      <c r="K550" s="237">
        <f t="shared" ca="1" si="29"/>
        <v>696503.33464391832</v>
      </c>
      <c r="L550" s="236"/>
      <c r="M550" s="237">
        <f>'MATRIZ COMPLETO PROPOSTA'!BD550+
 'MATRIZ COMPLETO PROPOSTA'!BA550+
 'MATRIZ COMPLETO PROPOSTA'!AX550+
 'MATRIZ COMPLETO PROPOSTA'!AS550+
 'MATRIZ COMPLETO PROPOSTA'!AM550</f>
        <v>290837.44917414215</v>
      </c>
      <c r="N550" s="236"/>
      <c r="O550" s="237"/>
      <c r="P550" s="236"/>
      <c r="Q550" s="243"/>
    </row>
    <row r="551" spans="2:17" x14ac:dyDescent="0.3">
      <c r="B551" s="230" t="s">
        <v>608</v>
      </c>
      <c r="C551" s="230" t="s">
        <v>650</v>
      </c>
      <c r="D551" s="230" t="s">
        <v>98</v>
      </c>
      <c r="G551" s="200">
        <f ca="1">'MATRIZ COMPLETO PROPOSTA'!H551</f>
        <v>823791.18130473746</v>
      </c>
      <c r="H551" s="200"/>
      <c r="I551" s="200"/>
      <c r="J551" s="200"/>
      <c r="K551" s="200">
        <f t="shared" ca="1" si="29"/>
        <v>823791.18130473746</v>
      </c>
      <c r="M551" s="200">
        <f>'MATRIZ COMPLETO PROPOSTA'!BD551+
 'MATRIZ COMPLETO PROPOSTA'!BA551+
 'MATRIZ COMPLETO PROPOSTA'!AX551+
 'MATRIZ COMPLETO PROPOSTA'!AS551+
 'MATRIZ COMPLETO PROPOSTA'!AM551</f>
        <v>307773.0472616576</v>
      </c>
      <c r="O551" s="200"/>
      <c r="Q551" s="240"/>
    </row>
    <row r="552" spans="2:17" x14ac:dyDescent="0.3">
      <c r="B552" s="235" t="s">
        <v>608</v>
      </c>
      <c r="C552" s="235" t="s">
        <v>651</v>
      </c>
      <c r="D552" s="235" t="s">
        <v>98</v>
      </c>
      <c r="E552" s="236"/>
      <c r="F552" s="236"/>
      <c r="G552" s="237">
        <f ca="1">'MATRIZ COMPLETO PROPOSTA'!H552</f>
        <v>703370.10575832578</v>
      </c>
      <c r="H552" s="237"/>
      <c r="I552" s="237"/>
      <c r="J552" s="237"/>
      <c r="K552" s="237">
        <f t="shared" ca="1" si="29"/>
        <v>703370.10575832578</v>
      </c>
      <c r="L552" s="236"/>
      <c r="M552" s="237">
        <f>'MATRIZ COMPLETO PROPOSTA'!BD552+
 'MATRIZ COMPLETO PROPOSTA'!BA552+
 'MATRIZ COMPLETO PROPOSTA'!AX552+
 'MATRIZ COMPLETO PROPOSTA'!AS552+
 'MATRIZ COMPLETO PROPOSTA'!AM552</f>
        <v>232531.66324702208</v>
      </c>
      <c r="N552" s="236"/>
      <c r="O552" s="237"/>
      <c r="P552" s="236"/>
      <c r="Q552" s="243"/>
    </row>
    <row r="553" spans="2:17" x14ac:dyDescent="0.3">
      <c r="B553" s="230" t="s">
        <v>608</v>
      </c>
      <c r="C553" s="230" t="s">
        <v>652</v>
      </c>
      <c r="D553" s="230" t="s">
        <v>92</v>
      </c>
      <c r="G553" s="200">
        <f ca="1">'MATRIZ COMPLETO PROPOSTA'!H553</f>
        <v>2937296.7286241143</v>
      </c>
      <c r="H553" s="200"/>
      <c r="I553" s="200"/>
      <c r="J553" s="200"/>
      <c r="K553" s="200">
        <f t="shared" ca="1" si="29"/>
        <v>2937296.7286241143</v>
      </c>
      <c r="M553" s="200">
        <f>'MATRIZ COMPLETO PROPOSTA'!BD553+
 'MATRIZ COMPLETO PROPOSTA'!BA553+
 'MATRIZ COMPLETO PROPOSTA'!AX553+
 'MATRIZ COMPLETO PROPOSTA'!AS553+
 'MATRIZ COMPLETO PROPOSTA'!AM553</f>
        <v>1502322.6504184722</v>
      </c>
      <c r="O553" s="200"/>
      <c r="Q553" s="240"/>
    </row>
    <row r="554" spans="2:17" x14ac:dyDescent="0.3">
      <c r="B554" s="235" t="s">
        <v>608</v>
      </c>
      <c r="C554" s="235" t="s">
        <v>653</v>
      </c>
      <c r="D554" s="235" t="s">
        <v>94</v>
      </c>
      <c r="E554" s="236"/>
      <c r="F554" s="236"/>
      <c r="G554" s="237">
        <f ca="1">'MATRIZ COMPLETO PROPOSTA'!H554</f>
        <v>2303034.8883019174</v>
      </c>
      <c r="H554" s="237"/>
      <c r="I554" s="237"/>
      <c r="J554" s="237"/>
      <c r="K554" s="237">
        <f t="shared" ca="1" si="29"/>
        <v>2303034.8883019174</v>
      </c>
      <c r="L554" s="236"/>
      <c r="M554" s="237">
        <f>'MATRIZ COMPLETO PROPOSTA'!BD554+
 'MATRIZ COMPLETO PROPOSTA'!BA554+
 'MATRIZ COMPLETO PROPOSTA'!AX554+
 'MATRIZ COMPLETO PROPOSTA'!AS554+
 'MATRIZ COMPLETO PROPOSTA'!AM554</f>
        <v>745569.73528078338</v>
      </c>
      <c r="N554" s="236"/>
      <c r="O554" s="237"/>
      <c r="P554" s="236"/>
      <c r="Q554" s="243"/>
    </row>
    <row r="555" spans="2:17" x14ac:dyDescent="0.3">
      <c r="B555" s="230" t="s">
        <v>608</v>
      </c>
      <c r="C555" s="230" t="s">
        <v>654</v>
      </c>
      <c r="D555" s="230" t="s">
        <v>94</v>
      </c>
      <c r="G555" s="200">
        <f ca="1">'MATRIZ COMPLETO PROPOSTA'!H555</f>
        <v>10424329.635207687</v>
      </c>
      <c r="H555" s="200"/>
      <c r="I555" s="200"/>
      <c r="J555" s="200"/>
      <c r="K555" s="200">
        <f t="shared" ca="1" si="29"/>
        <v>10424329.635207687</v>
      </c>
      <c r="M555" s="200">
        <f>'MATRIZ COMPLETO PROPOSTA'!BD555+
 'MATRIZ COMPLETO PROPOSTA'!BA555+
 'MATRIZ COMPLETO PROPOSTA'!AX555+
 'MATRIZ COMPLETO PROPOSTA'!AS555+
 'MATRIZ COMPLETO PROPOSTA'!AM555</f>
        <v>3210568.0420717932</v>
      </c>
      <c r="O555" s="200"/>
      <c r="Q555" s="240"/>
    </row>
    <row r="556" spans="2:17" x14ac:dyDescent="0.3">
      <c r="B556" s="235" t="s">
        <v>608</v>
      </c>
      <c r="C556" s="235" t="s">
        <v>655</v>
      </c>
      <c r="D556" s="235" t="s">
        <v>94</v>
      </c>
      <c r="E556" s="236"/>
      <c r="F556" s="236"/>
      <c r="G556" s="237">
        <f ca="1">'MATRIZ COMPLETO PROPOSTA'!H556</f>
        <v>2384407.2969220579</v>
      </c>
      <c r="H556" s="237"/>
      <c r="I556" s="237"/>
      <c r="J556" s="237"/>
      <c r="K556" s="237">
        <f t="shared" ca="1" si="29"/>
        <v>2384407.2969220579</v>
      </c>
      <c r="L556" s="236"/>
      <c r="M556" s="237">
        <f>'MATRIZ COMPLETO PROPOSTA'!BD556+
 'MATRIZ COMPLETO PROPOSTA'!BA556+
 'MATRIZ COMPLETO PROPOSTA'!AX556+
 'MATRIZ COMPLETO PROPOSTA'!AS556+
 'MATRIZ COMPLETO PROPOSTA'!AM556</f>
        <v>886427.0676550623</v>
      </c>
      <c r="N556" s="236"/>
      <c r="O556" s="237"/>
      <c r="P556" s="236"/>
      <c r="Q556" s="243"/>
    </row>
    <row r="557" spans="2:17" x14ac:dyDescent="0.3">
      <c r="B557" s="230" t="s">
        <v>608</v>
      </c>
      <c r="C557" s="230" t="s">
        <v>656</v>
      </c>
      <c r="D557" s="230" t="s">
        <v>94</v>
      </c>
      <c r="G557" s="200">
        <f ca="1">'MATRIZ COMPLETO PROPOSTA'!H557</f>
        <v>700000</v>
      </c>
      <c r="H557" s="200"/>
      <c r="I557" s="200"/>
      <c r="J557" s="200"/>
      <c r="K557" s="200">
        <f t="shared" ca="1" si="29"/>
        <v>700000</v>
      </c>
      <c r="M557" s="200">
        <f>'MATRIZ COMPLETO PROPOSTA'!BD557+
 'MATRIZ COMPLETO PROPOSTA'!BA557+
 'MATRIZ COMPLETO PROPOSTA'!AX557+
 'MATRIZ COMPLETO PROPOSTA'!AS557+
 'MATRIZ COMPLETO PROPOSTA'!AM557</f>
        <v>3101.6351987202388</v>
      </c>
      <c r="O557" s="200"/>
      <c r="Q557" s="240"/>
    </row>
    <row r="558" spans="2:17" x14ac:dyDescent="0.3">
      <c r="B558" s="235" t="s">
        <v>608</v>
      </c>
      <c r="C558" s="235" t="s">
        <v>657</v>
      </c>
      <c r="D558" s="235" t="s">
        <v>94</v>
      </c>
      <c r="E558" s="236"/>
      <c r="F558" s="236"/>
      <c r="G558" s="237">
        <f ca="1">'MATRIZ COMPLETO PROPOSTA'!H558</f>
        <v>2551531.1581598469</v>
      </c>
      <c r="H558" s="237"/>
      <c r="I558" s="237"/>
      <c r="J558" s="237"/>
      <c r="K558" s="237">
        <f t="shared" ca="1" si="29"/>
        <v>2551531.1581598469</v>
      </c>
      <c r="L558" s="236"/>
      <c r="M558" s="237">
        <f>'MATRIZ COMPLETO PROPOSTA'!BD558+
 'MATRIZ COMPLETO PROPOSTA'!BA558+
 'MATRIZ COMPLETO PROPOSTA'!AX558+
 'MATRIZ COMPLETO PROPOSTA'!AS558+
 'MATRIZ COMPLETO PROPOSTA'!AM558</f>
        <v>952895.56345567829</v>
      </c>
      <c r="N558" s="236"/>
      <c r="O558" s="237"/>
      <c r="P558" s="236"/>
      <c r="Q558" s="243"/>
    </row>
    <row r="559" spans="2:17" x14ac:dyDescent="0.3">
      <c r="B559" s="230" t="s">
        <v>608</v>
      </c>
      <c r="C559" s="230" t="s">
        <v>658</v>
      </c>
      <c r="D559" s="230" t="s">
        <v>94</v>
      </c>
      <c r="G559" s="200">
        <f ca="1">'MATRIZ COMPLETO PROPOSTA'!H559</f>
        <v>3394039.6288387915</v>
      </c>
      <c r="H559" s="200"/>
      <c r="I559" s="200"/>
      <c r="J559" s="200"/>
      <c r="K559" s="200">
        <f t="shared" ca="1" si="29"/>
        <v>3394039.6288387915</v>
      </c>
      <c r="M559" s="200">
        <f>'MATRIZ COMPLETO PROPOSTA'!BD559+
 'MATRIZ COMPLETO PROPOSTA'!BA559+
 'MATRIZ COMPLETO PROPOSTA'!AX559+
 'MATRIZ COMPLETO PROPOSTA'!AS559+
 'MATRIZ COMPLETO PROPOSTA'!AM559</f>
        <v>997260.49083924736</v>
      </c>
      <c r="O559" s="200"/>
      <c r="Q559" s="240"/>
    </row>
    <row r="560" spans="2:17" x14ac:dyDescent="0.3">
      <c r="B560" s="235" t="s">
        <v>608</v>
      </c>
      <c r="C560" s="235" t="s">
        <v>659</v>
      </c>
      <c r="D560" s="235" t="s">
        <v>94</v>
      </c>
      <c r="E560" s="236"/>
      <c r="F560" s="236"/>
      <c r="G560" s="237">
        <f ca="1">'MATRIZ COMPLETO PROPOSTA'!H560</f>
        <v>1033776.6745501024</v>
      </c>
      <c r="H560" s="237"/>
      <c r="I560" s="237"/>
      <c r="J560" s="237"/>
      <c r="K560" s="237">
        <f t="shared" ca="1" si="29"/>
        <v>1033776.6745501024</v>
      </c>
      <c r="L560" s="236"/>
      <c r="M560" s="237">
        <f>'MATRIZ COMPLETO PROPOSTA'!BD560+
 'MATRIZ COMPLETO PROPOSTA'!BA560+
 'MATRIZ COMPLETO PROPOSTA'!AX560+
 'MATRIZ COMPLETO PROPOSTA'!AS560+
 'MATRIZ COMPLETO PROPOSTA'!AM560</f>
        <v>367295.5310245544</v>
      </c>
      <c r="N560" s="236"/>
      <c r="O560" s="237"/>
      <c r="P560" s="236"/>
      <c r="Q560" s="243"/>
    </row>
    <row r="561" spans="2:17" x14ac:dyDescent="0.3">
      <c r="B561" s="230" t="s">
        <v>608</v>
      </c>
      <c r="C561" s="230" t="s">
        <v>660</v>
      </c>
      <c r="D561" s="230" t="s">
        <v>94</v>
      </c>
      <c r="G561" s="200">
        <f ca="1">'MATRIZ COMPLETO PROPOSTA'!H561</f>
        <v>926267.40277786867</v>
      </c>
      <c r="H561" s="200"/>
      <c r="I561" s="200"/>
      <c r="J561" s="200"/>
      <c r="K561" s="200">
        <f t="shared" ca="1" si="29"/>
        <v>926267.40277786867</v>
      </c>
      <c r="M561" s="200">
        <f>'MATRIZ COMPLETO PROPOSTA'!BD561+
 'MATRIZ COMPLETO PROPOSTA'!BA561+
 'MATRIZ COMPLETO PROPOSTA'!AX561+
 'MATRIZ COMPLETO PROPOSTA'!AS561+
 'MATRIZ COMPLETO PROPOSTA'!AM561</f>
        <v>331104.71528053307</v>
      </c>
      <c r="O561" s="200"/>
      <c r="Q561" s="240"/>
    </row>
    <row r="562" spans="2:17" x14ac:dyDescent="0.3">
      <c r="B562" s="235" t="s">
        <v>608</v>
      </c>
      <c r="C562" s="235" t="s">
        <v>661</v>
      </c>
      <c r="D562" s="235" t="s">
        <v>209</v>
      </c>
      <c r="E562" s="236"/>
      <c r="F562" s="236"/>
      <c r="G562" s="237">
        <f ca="1">'MATRIZ COMPLETO PROPOSTA'!H562</f>
        <v>16701.124777517573</v>
      </c>
      <c r="H562" s="237"/>
      <c r="I562" s="237"/>
      <c r="J562" s="237"/>
      <c r="K562" s="237">
        <f t="shared" ca="1" si="29"/>
        <v>16701.124777517573</v>
      </c>
      <c r="L562" s="236"/>
      <c r="M562" s="237">
        <f>'MATRIZ COMPLETO PROPOSTA'!BD562+
 'MATRIZ COMPLETO PROPOSTA'!BA562+
 'MATRIZ COMPLETO PROPOSTA'!AX562+
 'MATRIZ COMPLETO PROPOSTA'!AS562+
 'MATRIZ COMPLETO PROPOSTA'!AM562</f>
        <v>1663.4477727097756</v>
      </c>
      <c r="N562" s="236"/>
      <c r="O562" s="237"/>
      <c r="P562" s="236"/>
      <c r="Q562" s="243"/>
    </row>
    <row r="563" spans="2:17" x14ac:dyDescent="0.3">
      <c r="G563" s="200"/>
      <c r="H563" s="200"/>
      <c r="I563" s="200"/>
      <c r="J563" s="200"/>
      <c r="K563" s="200"/>
      <c r="M563" s="200"/>
      <c r="O563" s="200"/>
      <c r="Q563" s="240"/>
    </row>
    <row r="564" spans="2:17" x14ac:dyDescent="0.3">
      <c r="B564" s="231" t="s">
        <v>662</v>
      </c>
      <c r="C564" s="231" t="s">
        <v>663</v>
      </c>
      <c r="D564" s="232" t="s">
        <v>154</v>
      </c>
      <c r="E564" s="232"/>
      <c r="F564" s="232"/>
      <c r="G564" s="238">
        <f ca="1">SUM(G565:G587)</f>
        <v>49200184.109643392</v>
      </c>
      <c r="H564" s="238">
        <f>'MATRIZ COMPLETO PROPOSTA'!Y564</f>
        <v>1148054.5694357904</v>
      </c>
      <c r="I564" s="238">
        <f>'MATRIZ COMPLETO PROPOSTA'!AA564</f>
        <v>1411156.3644947559</v>
      </c>
      <c r="J564" s="238">
        <f>'MATRIZ COMPLETO PROPOSTA'!AC564</f>
        <v>3179299.1845389362</v>
      </c>
      <c r="K564" s="238">
        <f ca="1">SUM(G564:J564)</f>
        <v>54938694.228112876</v>
      </c>
      <c r="L564" s="232"/>
      <c r="M564" s="238">
        <f>SUM(M565:M587)</f>
        <v>17997713.96241422</v>
      </c>
      <c r="N564" s="232"/>
      <c r="O564" s="238">
        <f ca="1">K564*'DADOS BASE'!$I$22</f>
        <v>82408.041342169323</v>
      </c>
      <c r="P564" s="232"/>
      <c r="Q564" s="241">
        <f ca="1">SUM(H564:J564)/K564</f>
        <v>0.10445297615997959</v>
      </c>
    </row>
    <row r="565" spans="2:17" x14ac:dyDescent="0.3">
      <c r="B565" s="233" t="s">
        <v>662</v>
      </c>
      <c r="C565" s="234" t="s">
        <v>156</v>
      </c>
      <c r="D565" s="234" t="s">
        <v>157</v>
      </c>
      <c r="E565" s="234"/>
      <c r="F565" s="234"/>
      <c r="G565" s="239">
        <f>('MATRIZ COMPLETO PROPOSTA'!L564+
  'MATRIZ COMPLETO PROPOSTA'!P564*0.25+
  'MATRIZ COMPLETO PROPOSTA'!S564*0.8)
 /
 ('MATRIZ COMPLETO PROPOSTA'!L11+
  'MATRIZ COMPLETO PROPOSTA'!P11*0.25+
  'MATRIZ COMPLETO PROPOSTA'!S11*0.8)
 *
 'DADOS BASE'!$J$93</f>
        <v>5390495.1661574282</v>
      </c>
      <c r="H565" s="239"/>
      <c r="I565" s="239"/>
      <c r="J565" s="239"/>
      <c r="K565" s="239">
        <f t="shared" ref="K565:K587" si="30">J565+I565+H565+G565</f>
        <v>5390495.1661574282</v>
      </c>
      <c r="L565" s="234"/>
      <c r="M565" s="239">
        <f>'MATRIZ COMPLETO PROPOSTA'!BD565+
 'MATRIZ COMPLETO PROPOSTA'!BA565+
 'MATRIZ COMPLETO PROPOSTA'!AX565+
 'MATRIZ COMPLETO PROPOSTA'!AS565+
 'MATRIZ COMPLETO PROPOSTA'!AM565</f>
        <v>0</v>
      </c>
      <c r="N565" s="234"/>
      <c r="O565" s="239"/>
      <c r="P565" s="234"/>
      <c r="Q565" s="242"/>
    </row>
    <row r="566" spans="2:17" x14ac:dyDescent="0.3">
      <c r="B566" s="235" t="s">
        <v>662</v>
      </c>
      <c r="C566" s="235" t="s">
        <v>664</v>
      </c>
      <c r="D566" s="235" t="s">
        <v>92</v>
      </c>
      <c r="E566" s="236"/>
      <c r="F566" s="236"/>
      <c r="G566" s="237">
        <f ca="1">'MATRIZ COMPLETO PROPOSTA'!H566</f>
        <v>2203808.8629283411</v>
      </c>
      <c r="H566" s="237"/>
      <c r="I566" s="237"/>
      <c r="J566" s="237"/>
      <c r="K566" s="237">
        <f t="shared" ca="1" si="30"/>
        <v>2203808.8629283411</v>
      </c>
      <c r="L566" s="236"/>
      <c r="M566" s="237">
        <f>'MATRIZ COMPLETO PROPOSTA'!BD566+
 'MATRIZ COMPLETO PROPOSTA'!BA566+
 'MATRIZ COMPLETO PROPOSTA'!AX566+
 'MATRIZ COMPLETO PROPOSTA'!AS566+
 'MATRIZ COMPLETO PROPOSTA'!AM566</f>
        <v>734743.84081700351</v>
      </c>
      <c r="N566" s="236"/>
      <c r="O566" s="237"/>
      <c r="P566" s="236"/>
      <c r="Q566" s="243"/>
    </row>
    <row r="567" spans="2:17" x14ac:dyDescent="0.3">
      <c r="B567" s="230" t="s">
        <v>662</v>
      </c>
      <c r="C567" s="230" t="s">
        <v>665</v>
      </c>
      <c r="D567" s="230" t="s">
        <v>98</v>
      </c>
      <c r="G567" s="200">
        <f ca="1">'MATRIZ COMPLETO PROPOSTA'!H567</f>
        <v>700000</v>
      </c>
      <c r="H567" s="200"/>
      <c r="I567" s="200"/>
      <c r="J567" s="200"/>
      <c r="K567" s="200">
        <f t="shared" ca="1" si="30"/>
        <v>700000</v>
      </c>
      <c r="M567" s="200">
        <f>'MATRIZ COMPLETO PROPOSTA'!BD567+
 'MATRIZ COMPLETO PROPOSTA'!BA567+
 'MATRIZ COMPLETO PROPOSTA'!AX567+
 'MATRIZ COMPLETO PROPOSTA'!AS567+
 'MATRIZ COMPLETO PROPOSTA'!AM567</f>
        <v>9469.2491288177698</v>
      </c>
      <c r="O567" s="200"/>
      <c r="Q567" s="240"/>
    </row>
    <row r="568" spans="2:17" x14ac:dyDescent="0.3">
      <c r="B568" s="235" t="s">
        <v>662</v>
      </c>
      <c r="C568" s="235" t="s">
        <v>666</v>
      </c>
      <c r="D568" s="235" t="s">
        <v>98</v>
      </c>
      <c r="E568" s="236"/>
      <c r="F568" s="236"/>
      <c r="G568" s="237">
        <f ca="1">'MATRIZ COMPLETO PROPOSTA'!H568</f>
        <v>683198.70400660322</v>
      </c>
      <c r="H568" s="237"/>
      <c r="I568" s="237"/>
      <c r="J568" s="237"/>
      <c r="K568" s="237">
        <f t="shared" ca="1" si="30"/>
        <v>683198.70400660322</v>
      </c>
      <c r="L568" s="236"/>
      <c r="M568" s="237">
        <f>'MATRIZ COMPLETO PROPOSTA'!BD568+
 'MATRIZ COMPLETO PROPOSTA'!BA568+
 'MATRIZ COMPLETO PROPOSTA'!AX568+
 'MATRIZ COMPLETO PROPOSTA'!AS568+
 'MATRIZ COMPLETO PROPOSTA'!AM568</f>
        <v>441847.70452626783</v>
      </c>
      <c r="N568" s="236"/>
      <c r="O568" s="237"/>
      <c r="P568" s="236"/>
      <c r="Q568" s="243"/>
    </row>
    <row r="569" spans="2:17" x14ac:dyDescent="0.3">
      <c r="B569" s="230" t="s">
        <v>662</v>
      </c>
      <c r="C569" s="230" t="s">
        <v>667</v>
      </c>
      <c r="D569" s="230" t="s">
        <v>98</v>
      </c>
      <c r="G569" s="200">
        <f ca="1">'MATRIZ COMPLETO PROPOSTA'!H569</f>
        <v>1193457.3845534325</v>
      </c>
      <c r="H569" s="200"/>
      <c r="I569" s="200"/>
      <c r="J569" s="200"/>
      <c r="K569" s="200">
        <f t="shared" ca="1" si="30"/>
        <v>1193457.3845534325</v>
      </c>
      <c r="M569" s="200">
        <f>'MATRIZ COMPLETO PROPOSTA'!BD569+
 'MATRIZ COMPLETO PROPOSTA'!BA569+
 'MATRIZ COMPLETO PROPOSTA'!AX569+
 'MATRIZ COMPLETO PROPOSTA'!AS569+
 'MATRIZ COMPLETO PROPOSTA'!AM569</f>
        <v>199375.43251435884</v>
      </c>
      <c r="O569" s="200"/>
      <c r="Q569" s="240"/>
    </row>
    <row r="570" spans="2:17" x14ac:dyDescent="0.3">
      <c r="B570" s="235" t="s">
        <v>662</v>
      </c>
      <c r="C570" s="235" t="s">
        <v>668</v>
      </c>
      <c r="D570" s="235" t="s">
        <v>98</v>
      </c>
      <c r="E570" s="236"/>
      <c r="F570" s="236"/>
      <c r="G570" s="237">
        <f ca="1">'MATRIZ COMPLETO PROPOSTA'!H570</f>
        <v>744090.00137483468</v>
      </c>
      <c r="H570" s="237"/>
      <c r="I570" s="237"/>
      <c r="J570" s="237"/>
      <c r="K570" s="237">
        <f t="shared" ca="1" si="30"/>
        <v>744090.00137483468</v>
      </c>
      <c r="L570" s="236"/>
      <c r="M570" s="237">
        <f>'MATRIZ COMPLETO PROPOSTA'!BD570+
 'MATRIZ COMPLETO PROPOSTA'!BA570+
 'MATRIZ COMPLETO PROPOSTA'!AX570+
 'MATRIZ COMPLETO PROPOSTA'!AS570+
 'MATRIZ COMPLETO PROPOSTA'!AM570</f>
        <v>375717.91586899024</v>
      </c>
      <c r="N570" s="236"/>
      <c r="O570" s="237"/>
      <c r="P570" s="236"/>
      <c r="Q570" s="243"/>
    </row>
    <row r="571" spans="2:17" x14ac:dyDescent="0.3">
      <c r="B571" s="230" t="s">
        <v>662</v>
      </c>
      <c r="C571" s="230" t="s">
        <v>669</v>
      </c>
      <c r="D571" s="230" t="s">
        <v>94</v>
      </c>
      <c r="G571" s="200">
        <f ca="1">'MATRIZ COMPLETO PROPOSTA'!H571</f>
        <v>2228456.5082302373</v>
      </c>
      <c r="H571" s="200"/>
      <c r="I571" s="200"/>
      <c r="J571" s="200"/>
      <c r="K571" s="200">
        <f t="shared" ca="1" si="30"/>
        <v>2228456.5082302373</v>
      </c>
      <c r="M571" s="200">
        <f>'MATRIZ COMPLETO PROPOSTA'!BD571+
 'MATRIZ COMPLETO PROPOSTA'!BA571+
 'MATRIZ COMPLETO PROPOSTA'!AX571+
 'MATRIZ COMPLETO PROPOSTA'!AS571+
 'MATRIZ COMPLETO PROPOSTA'!AM571</f>
        <v>904767.57036868529</v>
      </c>
      <c r="O571" s="200"/>
      <c r="Q571" s="240"/>
    </row>
    <row r="572" spans="2:17" x14ac:dyDescent="0.3">
      <c r="B572" s="235" t="s">
        <v>662</v>
      </c>
      <c r="C572" s="235" t="s">
        <v>670</v>
      </c>
      <c r="D572" s="235" t="s">
        <v>98</v>
      </c>
      <c r="E572" s="236"/>
      <c r="F572" s="236"/>
      <c r="G572" s="237">
        <f ca="1">'MATRIZ COMPLETO PROPOSTA'!H572</f>
        <v>1213255.6669655251</v>
      </c>
      <c r="H572" s="237"/>
      <c r="I572" s="237"/>
      <c r="J572" s="237"/>
      <c r="K572" s="237">
        <f t="shared" ca="1" si="30"/>
        <v>1213255.6669655251</v>
      </c>
      <c r="L572" s="236"/>
      <c r="M572" s="237">
        <f>'MATRIZ COMPLETO PROPOSTA'!BD572+
 'MATRIZ COMPLETO PROPOSTA'!BA572+
 'MATRIZ COMPLETO PROPOSTA'!AX572+
 'MATRIZ COMPLETO PROPOSTA'!AS572+
 'MATRIZ COMPLETO PROPOSTA'!AM572</f>
        <v>617733.92314038938</v>
      </c>
      <c r="N572" s="236"/>
      <c r="O572" s="237"/>
      <c r="P572" s="236"/>
      <c r="Q572" s="243"/>
    </row>
    <row r="573" spans="2:17" x14ac:dyDescent="0.3">
      <c r="B573" s="230" t="s">
        <v>662</v>
      </c>
      <c r="C573" s="230" t="s">
        <v>671</v>
      </c>
      <c r="D573" s="230" t="s">
        <v>94</v>
      </c>
      <c r="G573" s="200">
        <f ca="1">'MATRIZ COMPLETO PROPOSTA'!H573</f>
        <v>1348399.2036847114</v>
      </c>
      <c r="H573" s="200"/>
      <c r="I573" s="200"/>
      <c r="J573" s="200"/>
      <c r="K573" s="200">
        <f t="shared" ca="1" si="30"/>
        <v>1348399.2036847114</v>
      </c>
      <c r="M573" s="200">
        <f>'MATRIZ COMPLETO PROPOSTA'!BD573+
 'MATRIZ COMPLETO PROPOSTA'!BA573+
 'MATRIZ COMPLETO PROPOSTA'!AX573+
 'MATRIZ COMPLETO PROPOSTA'!AS573+
 'MATRIZ COMPLETO PROPOSTA'!AM573</f>
        <v>716299.13911921962</v>
      </c>
      <c r="O573" s="200"/>
      <c r="Q573" s="240"/>
    </row>
    <row r="574" spans="2:17" x14ac:dyDescent="0.3">
      <c r="B574" s="235" t="s">
        <v>662</v>
      </c>
      <c r="C574" s="235" t="s">
        <v>672</v>
      </c>
      <c r="D574" s="235" t="s">
        <v>94</v>
      </c>
      <c r="E574" s="236"/>
      <c r="F574" s="236"/>
      <c r="G574" s="237">
        <f ca="1">'MATRIZ COMPLETO PROPOSTA'!H574</f>
        <v>2000315.2407043348</v>
      </c>
      <c r="H574" s="237"/>
      <c r="I574" s="237"/>
      <c r="J574" s="237"/>
      <c r="K574" s="237">
        <f t="shared" ca="1" si="30"/>
        <v>2000315.2407043348</v>
      </c>
      <c r="L574" s="236"/>
      <c r="M574" s="237">
        <f>'MATRIZ COMPLETO PROPOSTA'!BD574+
 'MATRIZ COMPLETO PROPOSTA'!BA574+
 'MATRIZ COMPLETO PROPOSTA'!AX574+
 'MATRIZ COMPLETO PROPOSTA'!AS574+
 'MATRIZ COMPLETO PROPOSTA'!AM574</f>
        <v>889743.59631323931</v>
      </c>
      <c r="N574" s="236"/>
      <c r="O574" s="237"/>
      <c r="P574" s="236"/>
      <c r="Q574" s="243"/>
    </row>
    <row r="575" spans="2:17" x14ac:dyDescent="0.3">
      <c r="B575" s="230" t="s">
        <v>662</v>
      </c>
      <c r="C575" s="230" t="s">
        <v>673</v>
      </c>
      <c r="D575" s="230" t="s">
        <v>94</v>
      </c>
      <c r="G575" s="200">
        <f ca="1">'MATRIZ COMPLETO PROPOSTA'!H575</f>
        <v>2514332.5443705698</v>
      </c>
      <c r="H575" s="200"/>
      <c r="I575" s="200"/>
      <c r="J575" s="200"/>
      <c r="K575" s="200">
        <f t="shared" ca="1" si="30"/>
        <v>2514332.5443705698</v>
      </c>
      <c r="M575" s="200">
        <f>'MATRIZ COMPLETO PROPOSTA'!BD575+
 'MATRIZ COMPLETO PROPOSTA'!BA575+
 'MATRIZ COMPLETO PROPOSTA'!AX575+
 'MATRIZ COMPLETO PROPOSTA'!AS575+
 'MATRIZ COMPLETO PROPOSTA'!AM575</f>
        <v>958839.40978774393</v>
      </c>
      <c r="O575" s="200"/>
      <c r="Q575" s="240"/>
    </row>
    <row r="576" spans="2:17" x14ac:dyDescent="0.3">
      <c r="B576" s="235" t="s">
        <v>662</v>
      </c>
      <c r="C576" s="235" t="s">
        <v>674</v>
      </c>
      <c r="D576" s="235" t="s">
        <v>94</v>
      </c>
      <c r="E576" s="236"/>
      <c r="F576" s="236"/>
      <c r="G576" s="237">
        <f ca="1">'MATRIZ COMPLETO PROPOSTA'!H576</f>
        <v>1547868.7412423054</v>
      </c>
      <c r="H576" s="237"/>
      <c r="I576" s="237"/>
      <c r="J576" s="237"/>
      <c r="K576" s="237">
        <f t="shared" ca="1" si="30"/>
        <v>1547868.7412423054</v>
      </c>
      <c r="L576" s="236"/>
      <c r="M576" s="237">
        <f>'MATRIZ COMPLETO PROPOSTA'!BD576+
 'MATRIZ COMPLETO PROPOSTA'!BA576+
 'MATRIZ COMPLETO PROPOSTA'!AX576+
 'MATRIZ COMPLETO PROPOSTA'!AS576+
 'MATRIZ COMPLETO PROPOSTA'!AM576</f>
        <v>713425.5808596228</v>
      </c>
      <c r="N576" s="236"/>
      <c r="O576" s="237"/>
      <c r="P576" s="236"/>
      <c r="Q576" s="243"/>
    </row>
    <row r="577" spans="2:17" x14ac:dyDescent="0.3">
      <c r="B577" s="230" t="s">
        <v>662</v>
      </c>
      <c r="C577" s="230" t="s">
        <v>675</v>
      </c>
      <c r="D577" s="230" t="s">
        <v>94</v>
      </c>
      <c r="G577" s="200">
        <f ca="1">'MATRIZ COMPLETO PROPOSTA'!H577</f>
        <v>1615692.6084394522</v>
      </c>
      <c r="H577" s="200"/>
      <c r="I577" s="200"/>
      <c r="J577" s="200"/>
      <c r="K577" s="200">
        <f t="shared" ca="1" si="30"/>
        <v>1615692.6084394522</v>
      </c>
      <c r="M577" s="200">
        <f>'MATRIZ COMPLETO PROPOSTA'!BD577+
 'MATRIZ COMPLETO PROPOSTA'!BA577+
 'MATRIZ COMPLETO PROPOSTA'!AX577+
 'MATRIZ COMPLETO PROPOSTA'!AS577+
 'MATRIZ COMPLETO PROPOSTA'!AM577</f>
        <v>543590.44680188794</v>
      </c>
      <c r="O577" s="200"/>
      <c r="Q577" s="240"/>
    </row>
    <row r="578" spans="2:17" x14ac:dyDescent="0.3">
      <c r="B578" s="235" t="s">
        <v>662</v>
      </c>
      <c r="C578" s="235" t="s">
        <v>676</v>
      </c>
      <c r="D578" s="235" t="s">
        <v>94</v>
      </c>
      <c r="E578" s="236"/>
      <c r="F578" s="236"/>
      <c r="G578" s="237">
        <f ca="1">'MATRIZ COMPLETO PROPOSTA'!H578</f>
        <v>2683000.8004009337</v>
      </c>
      <c r="H578" s="237"/>
      <c r="I578" s="237"/>
      <c r="J578" s="237"/>
      <c r="K578" s="237">
        <f t="shared" ca="1" si="30"/>
        <v>2683000.8004009337</v>
      </c>
      <c r="L578" s="236"/>
      <c r="M578" s="237">
        <f>'MATRIZ COMPLETO PROPOSTA'!BD578+
 'MATRIZ COMPLETO PROPOSTA'!BA578+
 'MATRIZ COMPLETO PROPOSTA'!AX578+
 'MATRIZ COMPLETO PROPOSTA'!AS578+
 'MATRIZ COMPLETO PROPOSTA'!AM578</f>
        <v>1008437.8782705086</v>
      </c>
      <c r="N578" s="236"/>
      <c r="O578" s="237"/>
      <c r="P578" s="236"/>
      <c r="Q578" s="243"/>
    </row>
    <row r="579" spans="2:17" x14ac:dyDescent="0.3">
      <c r="B579" s="230" t="s">
        <v>662</v>
      </c>
      <c r="C579" s="230" t="s">
        <v>677</v>
      </c>
      <c r="D579" s="230" t="s">
        <v>94</v>
      </c>
      <c r="G579" s="200">
        <f ca="1">'MATRIZ COMPLETO PROPOSTA'!H579</f>
        <v>9269471.8776167762</v>
      </c>
      <c r="H579" s="200"/>
      <c r="I579" s="200"/>
      <c r="J579" s="200"/>
      <c r="K579" s="200">
        <f t="shared" ca="1" si="30"/>
        <v>9269471.8776167762</v>
      </c>
      <c r="M579" s="200">
        <f>'MATRIZ COMPLETO PROPOSTA'!BD579+
 'MATRIZ COMPLETO PROPOSTA'!BA579+
 'MATRIZ COMPLETO PROPOSTA'!AX579+
 'MATRIZ COMPLETO PROPOSTA'!AS579+
 'MATRIZ COMPLETO PROPOSTA'!AM579</f>
        <v>3506135.7458943869</v>
      </c>
      <c r="O579" s="200"/>
      <c r="Q579" s="240"/>
    </row>
    <row r="580" spans="2:17" x14ac:dyDescent="0.3">
      <c r="B580" s="235" t="s">
        <v>662</v>
      </c>
      <c r="C580" s="235" t="s">
        <v>678</v>
      </c>
      <c r="D580" s="235" t="s">
        <v>94</v>
      </c>
      <c r="E580" s="236"/>
      <c r="F580" s="236"/>
      <c r="G580" s="237">
        <f ca="1">'MATRIZ COMPLETO PROPOSTA'!H580</f>
        <v>1180223.0937189662</v>
      </c>
      <c r="H580" s="237"/>
      <c r="I580" s="237"/>
      <c r="J580" s="237"/>
      <c r="K580" s="237">
        <f t="shared" ca="1" si="30"/>
        <v>1180223.0937189662</v>
      </c>
      <c r="L580" s="236"/>
      <c r="M580" s="237">
        <f>'MATRIZ COMPLETO PROPOSTA'!BD580+
 'MATRIZ COMPLETO PROPOSTA'!BA580+
 'MATRIZ COMPLETO PROPOSTA'!AX580+
 'MATRIZ COMPLETO PROPOSTA'!AS580+
 'MATRIZ COMPLETO PROPOSTA'!AM580</f>
        <v>639857.4067352477</v>
      </c>
      <c r="N580" s="236"/>
      <c r="O580" s="237"/>
      <c r="P580" s="236"/>
      <c r="Q580" s="243"/>
    </row>
    <row r="581" spans="2:17" x14ac:dyDescent="0.3">
      <c r="B581" s="230" t="s">
        <v>662</v>
      </c>
      <c r="C581" s="230" t="s">
        <v>679</v>
      </c>
      <c r="D581" s="230" t="s">
        <v>94</v>
      </c>
      <c r="G581" s="200">
        <f ca="1">'MATRIZ COMPLETO PROPOSTA'!H581</f>
        <v>1876989.1033342318</v>
      </c>
      <c r="H581" s="200"/>
      <c r="I581" s="200"/>
      <c r="J581" s="200"/>
      <c r="K581" s="200">
        <f t="shared" ca="1" si="30"/>
        <v>1876989.1033342318</v>
      </c>
      <c r="M581" s="200">
        <f>'MATRIZ COMPLETO PROPOSTA'!BD581+
 'MATRIZ COMPLETO PROPOSTA'!BA581+
 'MATRIZ COMPLETO PROPOSTA'!AX581+
 'MATRIZ COMPLETO PROPOSTA'!AS581+
 'MATRIZ COMPLETO PROPOSTA'!AM581</f>
        <v>849227.7861424099</v>
      </c>
      <c r="O581" s="200"/>
      <c r="Q581" s="240"/>
    </row>
    <row r="582" spans="2:17" x14ac:dyDescent="0.3">
      <c r="B582" s="235" t="s">
        <v>662</v>
      </c>
      <c r="C582" s="235" t="s">
        <v>680</v>
      </c>
      <c r="D582" s="235" t="s">
        <v>94</v>
      </c>
      <c r="E582" s="236"/>
      <c r="F582" s="236"/>
      <c r="G582" s="237">
        <f ca="1">'MATRIZ COMPLETO PROPOSTA'!H582</f>
        <v>1472096.3543823583</v>
      </c>
      <c r="H582" s="237"/>
      <c r="I582" s="237"/>
      <c r="J582" s="237"/>
      <c r="K582" s="237">
        <f t="shared" ca="1" si="30"/>
        <v>1472096.3543823583</v>
      </c>
      <c r="L582" s="236"/>
      <c r="M582" s="237">
        <f>'MATRIZ COMPLETO PROPOSTA'!BD582+
 'MATRIZ COMPLETO PROPOSTA'!BA582+
 'MATRIZ COMPLETO PROPOSTA'!AX582+
 'MATRIZ COMPLETO PROPOSTA'!AS582+
 'MATRIZ COMPLETO PROPOSTA'!AM582</f>
        <v>757884.26606109925</v>
      </c>
      <c r="N582" s="236"/>
      <c r="O582" s="237"/>
      <c r="P582" s="236"/>
      <c r="Q582" s="243"/>
    </row>
    <row r="583" spans="2:17" x14ac:dyDescent="0.3">
      <c r="B583" s="230" t="s">
        <v>662</v>
      </c>
      <c r="C583" s="230" t="s">
        <v>681</v>
      </c>
      <c r="D583" s="230" t="s">
        <v>94</v>
      </c>
      <c r="G583" s="200">
        <f ca="1">'MATRIZ COMPLETO PROPOSTA'!H583</f>
        <v>1786861.5646574516</v>
      </c>
      <c r="H583" s="200"/>
      <c r="I583" s="200"/>
      <c r="J583" s="200"/>
      <c r="K583" s="200">
        <f t="shared" ca="1" si="30"/>
        <v>1786861.5646574516</v>
      </c>
      <c r="M583" s="200">
        <f>'MATRIZ COMPLETO PROPOSTA'!BD583+
 'MATRIZ COMPLETO PROPOSTA'!BA583+
 'MATRIZ COMPLETO PROPOSTA'!AX583+
 'MATRIZ COMPLETO PROPOSTA'!AS583+
 'MATRIZ COMPLETO PROPOSTA'!AM583</f>
        <v>764744.7717957173</v>
      </c>
      <c r="O583" s="200"/>
      <c r="Q583" s="240"/>
    </row>
    <row r="584" spans="2:17" x14ac:dyDescent="0.3">
      <c r="B584" s="235" t="s">
        <v>662</v>
      </c>
      <c r="C584" s="235" t="s">
        <v>682</v>
      </c>
      <c r="D584" s="235" t="s">
        <v>94</v>
      </c>
      <c r="E584" s="236"/>
      <c r="F584" s="236"/>
      <c r="G584" s="237">
        <f ca="1">'MATRIZ COMPLETO PROPOSTA'!H584</f>
        <v>2355871.9127500635</v>
      </c>
      <c r="H584" s="237"/>
      <c r="I584" s="237"/>
      <c r="J584" s="237"/>
      <c r="K584" s="237">
        <f t="shared" ca="1" si="30"/>
        <v>2355871.9127500635</v>
      </c>
      <c r="L584" s="236"/>
      <c r="M584" s="237">
        <f>'MATRIZ COMPLETO PROPOSTA'!BD584+
 'MATRIZ COMPLETO PROPOSTA'!BA584+
 'MATRIZ COMPLETO PROPOSTA'!AX584+
 'MATRIZ COMPLETO PROPOSTA'!AS584+
 'MATRIZ COMPLETO PROPOSTA'!AM584</f>
        <v>921400.57240892493</v>
      </c>
      <c r="N584" s="236"/>
      <c r="O584" s="237"/>
      <c r="P584" s="236"/>
      <c r="Q584" s="243"/>
    </row>
    <row r="585" spans="2:17" x14ac:dyDescent="0.3">
      <c r="B585" s="230" t="s">
        <v>662</v>
      </c>
      <c r="C585" s="230" t="s">
        <v>683</v>
      </c>
      <c r="D585" s="230" t="s">
        <v>94</v>
      </c>
      <c r="G585" s="200">
        <f ca="1">'MATRIZ COMPLETO PROPOSTA'!H585</f>
        <v>1917556.6534891899</v>
      </c>
      <c r="H585" s="200"/>
      <c r="I585" s="200"/>
      <c r="J585" s="200"/>
      <c r="K585" s="200">
        <f t="shared" ca="1" si="30"/>
        <v>1917556.6534891899</v>
      </c>
      <c r="M585" s="200">
        <f>'MATRIZ COMPLETO PROPOSTA'!BD585+
 'MATRIZ COMPLETO PROPOSTA'!BA585+
 'MATRIZ COMPLETO PROPOSTA'!AX585+
 'MATRIZ COMPLETO PROPOSTA'!AS585+
 'MATRIZ COMPLETO PROPOSTA'!AM585</f>
        <v>857017.81464878586</v>
      </c>
      <c r="O585" s="200"/>
      <c r="Q585" s="240"/>
    </row>
    <row r="586" spans="2:17" x14ac:dyDescent="0.3">
      <c r="B586" s="235" t="s">
        <v>662</v>
      </c>
      <c r="C586" s="235" t="s">
        <v>684</v>
      </c>
      <c r="D586" s="235" t="s">
        <v>92</v>
      </c>
      <c r="E586" s="236"/>
      <c r="F586" s="236"/>
      <c r="G586" s="237">
        <f ca="1">'MATRIZ COMPLETO PROPOSTA'!H586</f>
        <v>1486906.512983053</v>
      </c>
      <c r="H586" s="237"/>
      <c r="I586" s="237"/>
      <c r="J586" s="237"/>
      <c r="K586" s="237">
        <f t="shared" ca="1" si="30"/>
        <v>1486906.512983053</v>
      </c>
      <c r="L586" s="236"/>
      <c r="M586" s="237">
        <f>'MATRIZ COMPLETO PROPOSTA'!BD586+
 'MATRIZ COMPLETO PROPOSTA'!BA586+
 'MATRIZ COMPLETO PROPOSTA'!AX586+
 'MATRIZ COMPLETO PROPOSTA'!AS586+
 'MATRIZ COMPLETO PROPOSTA'!AM586</f>
        <v>739384.04760539695</v>
      </c>
      <c r="N586" s="236"/>
      <c r="O586" s="237"/>
      <c r="P586" s="236"/>
      <c r="Q586" s="243"/>
    </row>
    <row r="587" spans="2:17" x14ac:dyDescent="0.3">
      <c r="B587" s="230" t="s">
        <v>662</v>
      </c>
      <c r="C587" s="230" t="s">
        <v>685</v>
      </c>
      <c r="D587" s="230" t="s">
        <v>94</v>
      </c>
      <c r="G587" s="200">
        <f ca="1">'MATRIZ COMPLETO PROPOSTA'!H587</f>
        <v>1787835.6036525918</v>
      </c>
      <c r="H587" s="200"/>
      <c r="I587" s="200"/>
      <c r="J587" s="200"/>
      <c r="K587" s="200">
        <f t="shared" ca="1" si="30"/>
        <v>1787835.6036525918</v>
      </c>
      <c r="M587" s="200">
        <f>'MATRIZ COMPLETO PROPOSTA'!BD587+
 'MATRIZ COMPLETO PROPOSTA'!BA587+
 'MATRIZ COMPLETO PROPOSTA'!AX587+
 'MATRIZ COMPLETO PROPOSTA'!AS587+
 'MATRIZ COMPLETO PROPOSTA'!AM587</f>
        <v>848069.86360551568</v>
      </c>
      <c r="O587" s="200"/>
      <c r="Q587" s="240"/>
    </row>
    <row r="588" spans="2:17" x14ac:dyDescent="0.3">
      <c r="G588" s="200"/>
      <c r="H588" s="200"/>
      <c r="I588" s="200"/>
      <c r="J588" s="200"/>
      <c r="K588" s="200"/>
      <c r="M588" s="200"/>
      <c r="O588" s="200"/>
      <c r="Q588" s="240"/>
    </row>
    <row r="589" spans="2:17" x14ac:dyDescent="0.3">
      <c r="B589" s="231" t="s">
        <v>686</v>
      </c>
      <c r="C589" s="231" t="s">
        <v>687</v>
      </c>
      <c r="D589" s="232" t="s">
        <v>154</v>
      </c>
      <c r="E589" s="232"/>
      <c r="F589" s="232"/>
      <c r="G589" s="238">
        <f ca="1">SUM(G590:G600)</f>
        <v>32882214.572048441</v>
      </c>
      <c r="H589" s="238">
        <f>'MATRIZ COMPLETO PROPOSTA'!Y589</f>
        <v>1152637.6216091868</v>
      </c>
      <c r="I589" s="238">
        <f>'MATRIZ COMPLETO PROPOSTA'!AA589</f>
        <v>468561.02558013058</v>
      </c>
      <c r="J589" s="238">
        <f>'MATRIZ COMPLETO PROPOSTA'!AC589</f>
        <v>172489.27836348291</v>
      </c>
      <c r="K589" s="238">
        <f ca="1">SUM(G589:J589)</f>
        <v>34675902.497601241</v>
      </c>
      <c r="L589" s="232"/>
      <c r="M589" s="238">
        <f>SUM(M590:M600)</f>
        <v>10234303.90118918</v>
      </c>
      <c r="N589" s="232"/>
      <c r="O589" s="238">
        <f ca="1">K589*'DADOS BASE'!$I$22</f>
        <v>52013.853746401859</v>
      </c>
      <c r="P589" s="232"/>
      <c r="Q589" s="241">
        <f ca="1">SUM(H589:J589)/K589</f>
        <v>5.1727216780497104E-2</v>
      </c>
    </row>
    <row r="590" spans="2:17" x14ac:dyDescent="0.3">
      <c r="B590" s="233" t="s">
        <v>686</v>
      </c>
      <c r="C590" s="234" t="s">
        <v>156</v>
      </c>
      <c r="D590" s="234" t="s">
        <v>157</v>
      </c>
      <c r="E590" s="234"/>
      <c r="F590" s="234"/>
      <c r="G590" s="239">
        <f>('MATRIZ COMPLETO PROPOSTA'!L589+
  'MATRIZ COMPLETO PROPOSTA'!P589*0.25+
  'MATRIZ COMPLETO PROPOSTA'!S589*0.8)
 /
 ('MATRIZ COMPLETO PROPOSTA'!L11+
  'MATRIZ COMPLETO PROPOSTA'!P11*0.25+
  'MATRIZ COMPLETO PROPOSTA'!S11*0.8)
 *
 'DADOS BASE'!$J$93</f>
        <v>3601958.4932180122</v>
      </c>
      <c r="H590" s="239"/>
      <c r="I590" s="239"/>
      <c r="J590" s="239"/>
      <c r="K590" s="239">
        <f t="shared" ref="K590:K600" si="31">J590+I590+H590+G590</f>
        <v>3601958.4932180122</v>
      </c>
      <c r="L590" s="234"/>
      <c r="M590" s="239">
        <f>'MATRIZ COMPLETO PROPOSTA'!BD590+
 'MATRIZ COMPLETO PROPOSTA'!BA590+
 'MATRIZ COMPLETO PROPOSTA'!AX590+
 'MATRIZ COMPLETO PROPOSTA'!AS590+
 'MATRIZ COMPLETO PROPOSTA'!AM590</f>
        <v>0</v>
      </c>
      <c r="N590" s="234"/>
      <c r="O590" s="239"/>
      <c r="P590" s="234"/>
      <c r="Q590" s="242"/>
    </row>
    <row r="591" spans="2:17" x14ac:dyDescent="0.3">
      <c r="B591" s="230" t="s">
        <v>686</v>
      </c>
      <c r="C591" s="230" t="s">
        <v>688</v>
      </c>
      <c r="D591" s="230" t="s">
        <v>92</v>
      </c>
      <c r="G591" s="200">
        <f ca="1">'MATRIZ COMPLETO PROPOSTA'!H591</f>
        <v>3549658.1858722195</v>
      </c>
      <c r="H591" s="200"/>
      <c r="I591" s="200"/>
      <c r="J591" s="200"/>
      <c r="K591" s="200">
        <f t="shared" ca="1" si="31"/>
        <v>3549658.1858722195</v>
      </c>
      <c r="M591" s="200">
        <f>'MATRIZ COMPLETO PROPOSTA'!BD591+
 'MATRIZ COMPLETO PROPOSTA'!BA591+
 'MATRIZ COMPLETO PROPOSTA'!AX591+
 'MATRIZ COMPLETO PROPOSTA'!AS591+
 'MATRIZ COMPLETO PROPOSTA'!AM591</f>
        <v>1550123.2812941577</v>
      </c>
      <c r="O591" s="200"/>
      <c r="Q591" s="240"/>
    </row>
    <row r="592" spans="2:17" x14ac:dyDescent="0.3">
      <c r="B592" s="235" t="s">
        <v>686</v>
      </c>
      <c r="C592" s="235" t="s">
        <v>689</v>
      </c>
      <c r="D592" s="235" t="s">
        <v>98</v>
      </c>
      <c r="E592" s="236"/>
      <c r="F592" s="236"/>
      <c r="G592" s="237">
        <f ca="1">'MATRIZ COMPLETO PROPOSTA'!H592</f>
        <v>700000</v>
      </c>
      <c r="H592" s="237"/>
      <c r="I592" s="237"/>
      <c r="J592" s="237"/>
      <c r="K592" s="237">
        <f t="shared" ca="1" si="31"/>
        <v>700000</v>
      </c>
      <c r="L592" s="236"/>
      <c r="M592" s="237">
        <f>'MATRIZ COMPLETO PROPOSTA'!BD592+
 'MATRIZ COMPLETO PROPOSTA'!BA592+
 'MATRIZ COMPLETO PROPOSTA'!AX592+
 'MATRIZ COMPLETO PROPOSTA'!AS592+
 'MATRIZ COMPLETO PROPOSTA'!AM592</f>
        <v>72878.166296504976</v>
      </c>
      <c r="N592" s="236"/>
      <c r="O592" s="237"/>
      <c r="P592" s="236"/>
      <c r="Q592" s="243"/>
    </row>
    <row r="593" spans="2:17" x14ac:dyDescent="0.3">
      <c r="B593" s="230" t="s">
        <v>686</v>
      </c>
      <c r="C593" s="230" t="s">
        <v>690</v>
      </c>
      <c r="D593" s="230" t="s">
        <v>92</v>
      </c>
      <c r="G593" s="200">
        <f ca="1">'MATRIZ COMPLETO PROPOSTA'!H593</f>
        <v>3580377.748353309</v>
      </c>
      <c r="H593" s="200"/>
      <c r="I593" s="200"/>
      <c r="J593" s="200"/>
      <c r="K593" s="200">
        <f t="shared" ca="1" si="31"/>
        <v>3580377.748353309</v>
      </c>
      <c r="M593" s="200">
        <f>'MATRIZ COMPLETO PROPOSTA'!BD593+
 'MATRIZ COMPLETO PROPOSTA'!BA593+
 'MATRIZ COMPLETO PROPOSTA'!AX593+
 'MATRIZ COMPLETO PROPOSTA'!AS593+
 'MATRIZ COMPLETO PROPOSTA'!AM593</f>
        <v>1023139.0346876234</v>
      </c>
      <c r="O593" s="200"/>
      <c r="Q593" s="240"/>
    </row>
    <row r="594" spans="2:17" x14ac:dyDescent="0.3">
      <c r="B594" s="235" t="s">
        <v>686</v>
      </c>
      <c r="C594" s="235" t="s">
        <v>691</v>
      </c>
      <c r="D594" s="235" t="s">
        <v>92</v>
      </c>
      <c r="E594" s="236"/>
      <c r="F594" s="236"/>
      <c r="G594" s="237">
        <f ca="1">'MATRIZ COMPLETO PROPOSTA'!H594</f>
        <v>5733715.7673132634</v>
      </c>
      <c r="H594" s="237"/>
      <c r="I594" s="237"/>
      <c r="J594" s="237"/>
      <c r="K594" s="237">
        <f t="shared" ca="1" si="31"/>
        <v>5733715.7673132634</v>
      </c>
      <c r="L594" s="236"/>
      <c r="M594" s="237">
        <f>'MATRIZ COMPLETO PROPOSTA'!BD594+
 'MATRIZ COMPLETO PROPOSTA'!BA594+
 'MATRIZ COMPLETO PROPOSTA'!AX594+
 'MATRIZ COMPLETO PROPOSTA'!AS594+
 'MATRIZ COMPLETO PROPOSTA'!AM594</f>
        <v>2268472.8634767286</v>
      </c>
      <c r="N594" s="236"/>
      <c r="O594" s="237"/>
      <c r="P594" s="236"/>
      <c r="Q594" s="243"/>
    </row>
    <row r="595" spans="2:17" x14ac:dyDescent="0.3">
      <c r="B595" s="230" t="s">
        <v>686</v>
      </c>
      <c r="C595" s="230" t="s">
        <v>692</v>
      </c>
      <c r="D595" s="230" t="s">
        <v>94</v>
      </c>
      <c r="G595" s="200">
        <f ca="1">'MATRIZ COMPLETO PROPOSTA'!H595</f>
        <v>1494865.3625691412</v>
      </c>
      <c r="H595" s="200"/>
      <c r="I595" s="200"/>
      <c r="J595" s="200"/>
      <c r="K595" s="200">
        <f t="shared" ca="1" si="31"/>
        <v>1494865.3625691412</v>
      </c>
      <c r="M595" s="200">
        <f>'MATRIZ COMPLETO PROPOSTA'!BD595+
 'MATRIZ COMPLETO PROPOSTA'!BA595+
 'MATRIZ COMPLETO PROPOSTA'!AX595+
 'MATRIZ COMPLETO PROPOSTA'!AS595+
 'MATRIZ COMPLETO PROPOSTA'!AM595</f>
        <v>556465.96832135122</v>
      </c>
      <c r="O595" s="200"/>
      <c r="Q595" s="240"/>
    </row>
    <row r="596" spans="2:17" x14ac:dyDescent="0.3">
      <c r="B596" s="235" t="s">
        <v>686</v>
      </c>
      <c r="C596" s="235" t="s">
        <v>693</v>
      </c>
      <c r="D596" s="235" t="s">
        <v>94</v>
      </c>
      <c r="E596" s="236"/>
      <c r="F596" s="236"/>
      <c r="G596" s="237">
        <f ca="1">'MATRIZ COMPLETO PROPOSTA'!H596</f>
        <v>1186589.3115161962</v>
      </c>
      <c r="H596" s="237"/>
      <c r="I596" s="237"/>
      <c r="J596" s="237"/>
      <c r="K596" s="237">
        <f t="shared" ca="1" si="31"/>
        <v>1186589.3115161962</v>
      </c>
      <c r="L596" s="236"/>
      <c r="M596" s="237">
        <f>'MATRIZ COMPLETO PROPOSTA'!BD596+
 'MATRIZ COMPLETO PROPOSTA'!BA596+
 'MATRIZ COMPLETO PROPOSTA'!AX596+
 'MATRIZ COMPLETO PROPOSTA'!AS596+
 'MATRIZ COMPLETO PROPOSTA'!AM596</f>
        <v>380741.05491354654</v>
      </c>
      <c r="N596" s="236"/>
      <c r="O596" s="237"/>
      <c r="P596" s="236"/>
      <c r="Q596" s="243"/>
    </row>
    <row r="597" spans="2:17" x14ac:dyDescent="0.3">
      <c r="B597" s="230" t="s">
        <v>686</v>
      </c>
      <c r="C597" s="230" t="s">
        <v>694</v>
      </c>
      <c r="D597" s="230" t="s">
        <v>94</v>
      </c>
      <c r="G597" s="200">
        <f ca="1">'MATRIZ COMPLETO PROPOSTA'!H597</f>
        <v>2625212.7247949517</v>
      </c>
      <c r="H597" s="200"/>
      <c r="I597" s="200"/>
      <c r="J597" s="200"/>
      <c r="K597" s="200">
        <f t="shared" ca="1" si="31"/>
        <v>2625212.7247949517</v>
      </c>
      <c r="M597" s="200">
        <f>'MATRIZ COMPLETO PROPOSTA'!BD597+
 'MATRIZ COMPLETO PROPOSTA'!BA597+
 'MATRIZ COMPLETO PROPOSTA'!AX597+
 'MATRIZ COMPLETO PROPOSTA'!AS597+
 'MATRIZ COMPLETO PROPOSTA'!AM597</f>
        <v>911316.02861358807</v>
      </c>
      <c r="O597" s="200"/>
      <c r="Q597" s="240"/>
    </row>
    <row r="598" spans="2:17" x14ac:dyDescent="0.3">
      <c r="B598" s="235" t="s">
        <v>686</v>
      </c>
      <c r="C598" s="235" t="s">
        <v>695</v>
      </c>
      <c r="D598" s="235" t="s">
        <v>94</v>
      </c>
      <c r="E598" s="236"/>
      <c r="F598" s="236"/>
      <c r="G598" s="237">
        <f ca="1">'MATRIZ COMPLETO PROPOSTA'!H598</f>
        <v>4133707.577305872</v>
      </c>
      <c r="H598" s="237"/>
      <c r="I598" s="237"/>
      <c r="J598" s="237"/>
      <c r="K598" s="237">
        <f t="shared" ca="1" si="31"/>
        <v>4133707.577305872</v>
      </c>
      <c r="L598" s="236"/>
      <c r="M598" s="237">
        <f>'MATRIZ COMPLETO PROPOSTA'!BD598+
 'MATRIZ COMPLETO PROPOSTA'!BA598+
 'MATRIZ COMPLETO PROPOSTA'!AX598+
 'MATRIZ COMPLETO PROPOSTA'!AS598+
 'MATRIZ COMPLETO PROPOSTA'!AM598</f>
        <v>1432710.4330606819</v>
      </c>
      <c r="N598" s="236"/>
      <c r="O598" s="237"/>
      <c r="P598" s="236"/>
      <c r="Q598" s="243"/>
    </row>
    <row r="599" spans="2:17" x14ac:dyDescent="0.3">
      <c r="B599" s="230" t="s">
        <v>686</v>
      </c>
      <c r="C599" s="230" t="s">
        <v>696</v>
      </c>
      <c r="D599" s="230" t="s">
        <v>94</v>
      </c>
      <c r="G599" s="200">
        <f ca="1">'MATRIZ COMPLETO PROPOSTA'!H599</f>
        <v>3402955.9635554547</v>
      </c>
      <c r="H599" s="200"/>
      <c r="I599" s="200"/>
      <c r="J599" s="200"/>
      <c r="K599" s="200">
        <f t="shared" ca="1" si="31"/>
        <v>3402955.9635554547</v>
      </c>
      <c r="M599" s="200">
        <f>'MATRIZ COMPLETO PROPOSTA'!BD599+
 'MATRIZ COMPLETO PROPOSTA'!BA599+
 'MATRIZ COMPLETO PROPOSTA'!AX599+
 'MATRIZ COMPLETO PROPOSTA'!AS599+
 'MATRIZ COMPLETO PROPOSTA'!AM599</f>
        <v>996897.53236418357</v>
      </c>
      <c r="O599" s="200"/>
      <c r="Q599" s="240"/>
    </row>
    <row r="600" spans="2:17" x14ac:dyDescent="0.3">
      <c r="B600" s="235" t="s">
        <v>686</v>
      </c>
      <c r="C600" s="235" t="s">
        <v>697</v>
      </c>
      <c r="D600" s="235" t="s">
        <v>94</v>
      </c>
      <c r="E600" s="236"/>
      <c r="F600" s="236"/>
      <c r="G600" s="237">
        <f ca="1">'MATRIZ COMPLETO PROPOSTA'!H600</f>
        <v>2873173.4375500204</v>
      </c>
      <c r="H600" s="237"/>
      <c r="I600" s="237"/>
      <c r="J600" s="237"/>
      <c r="K600" s="237">
        <f t="shared" ca="1" si="31"/>
        <v>2873173.4375500204</v>
      </c>
      <c r="L600" s="236"/>
      <c r="M600" s="237">
        <f>'MATRIZ COMPLETO PROPOSTA'!BD600+
 'MATRIZ COMPLETO PROPOSTA'!BA600+
 'MATRIZ COMPLETO PROPOSTA'!AX600+
 'MATRIZ COMPLETO PROPOSTA'!AS600+
 'MATRIZ COMPLETO PROPOSTA'!AM600</f>
        <v>1041559.5381608134</v>
      </c>
      <c r="N600" s="236"/>
      <c r="O600" s="237"/>
      <c r="P600" s="236"/>
      <c r="Q600" s="243"/>
    </row>
    <row r="601" spans="2:17" x14ac:dyDescent="0.3">
      <c r="G601" s="200"/>
      <c r="H601" s="200"/>
      <c r="I601" s="200"/>
      <c r="J601" s="200"/>
      <c r="K601" s="200"/>
      <c r="M601" s="200"/>
      <c r="O601" s="200"/>
      <c r="Q601" s="240"/>
    </row>
    <row r="602" spans="2:17" x14ac:dyDescent="0.3">
      <c r="B602" s="231" t="s">
        <v>698</v>
      </c>
      <c r="C602" s="231" t="s">
        <v>699</v>
      </c>
      <c r="D602" s="232" t="s">
        <v>154</v>
      </c>
      <c r="E602" s="232"/>
      <c r="F602" s="232"/>
      <c r="G602" s="238">
        <f ca="1">SUM(G603:G608)</f>
        <v>7341865.7144810781</v>
      </c>
      <c r="H602" s="238">
        <f>'MATRIZ COMPLETO PROPOSTA'!Y602</f>
        <v>2306802.9272761722</v>
      </c>
      <c r="I602" s="238">
        <f>'MATRIZ COMPLETO PROPOSTA'!AA602</f>
        <v>0</v>
      </c>
      <c r="J602" s="238">
        <f>'MATRIZ COMPLETO PROPOSTA'!AC602</f>
        <v>1814901.3908566057</v>
      </c>
      <c r="K602" s="238">
        <f ca="1">SUM(G602:J602)</f>
        <v>11463570.032613855</v>
      </c>
      <c r="L602" s="232"/>
      <c r="M602" s="238">
        <f>SUM(M603:M608)</f>
        <v>3125575.782028839</v>
      </c>
      <c r="N602" s="232"/>
      <c r="O602" s="238">
        <f ca="1">K602*'DADOS BASE'!$I$22</f>
        <v>17195.355048920781</v>
      </c>
      <c r="P602" s="232"/>
      <c r="Q602" s="241">
        <f ca="1">SUM(H602:J602)/K602</f>
        <v>0.35954805583308946</v>
      </c>
    </row>
    <row r="603" spans="2:17" x14ac:dyDescent="0.3">
      <c r="B603" s="233" t="s">
        <v>698</v>
      </c>
      <c r="C603" s="234" t="s">
        <v>156</v>
      </c>
      <c r="D603" s="234" t="s">
        <v>157</v>
      </c>
      <c r="E603" s="234"/>
      <c r="F603" s="234"/>
      <c r="G603" s="239">
        <f>('MATRIZ COMPLETO PROPOSTA'!L602+
  'MATRIZ COMPLETO PROPOSTA'!P602*0.25+
  'MATRIZ COMPLETO PROPOSTA'!S602*0.8)
 /
 ('MATRIZ COMPLETO PROPOSTA'!L11+
  'MATRIZ COMPLETO PROPOSTA'!P11*0.25+
  'MATRIZ COMPLETO PROPOSTA'!S11*0.8)
 *
 'DADOS BASE'!$J$93</f>
        <v>815762.85716456443</v>
      </c>
      <c r="H603" s="239"/>
      <c r="I603" s="239"/>
      <c r="J603" s="239"/>
      <c r="K603" s="239">
        <f t="shared" ref="K603:K608" si="32">J603+I603+H603+G603</f>
        <v>815762.85716456443</v>
      </c>
      <c r="L603" s="234"/>
      <c r="M603" s="239">
        <f>'MATRIZ COMPLETO PROPOSTA'!BD603+
 'MATRIZ COMPLETO PROPOSTA'!BA603+
 'MATRIZ COMPLETO PROPOSTA'!AX603+
 'MATRIZ COMPLETO PROPOSTA'!AS603+
 'MATRIZ COMPLETO PROPOSTA'!AM603</f>
        <v>0</v>
      </c>
      <c r="N603" s="234"/>
      <c r="O603" s="239"/>
      <c r="P603" s="234"/>
      <c r="Q603" s="242"/>
    </row>
    <row r="604" spans="2:17" x14ac:dyDescent="0.3">
      <c r="B604" s="235" t="s">
        <v>698</v>
      </c>
      <c r="C604" s="235" t="s">
        <v>700</v>
      </c>
      <c r="D604" s="235" t="s">
        <v>92</v>
      </c>
      <c r="E604" s="236"/>
      <c r="F604" s="236"/>
      <c r="G604" s="237">
        <f ca="1">'MATRIZ COMPLETO PROPOSTA'!H604</f>
        <v>917134.0236526943</v>
      </c>
      <c r="H604" s="237"/>
      <c r="I604" s="237"/>
      <c r="J604" s="237"/>
      <c r="K604" s="237">
        <f t="shared" ca="1" si="32"/>
        <v>917134.0236526943</v>
      </c>
      <c r="L604" s="236"/>
      <c r="M604" s="237">
        <f>'MATRIZ COMPLETO PROPOSTA'!BD604+
 'MATRIZ COMPLETO PROPOSTA'!BA604+
 'MATRIZ COMPLETO PROPOSTA'!AX604+
 'MATRIZ COMPLETO PROPOSTA'!AS604+
 'MATRIZ COMPLETO PROPOSTA'!AM604</f>
        <v>799188.96766743367</v>
      </c>
      <c r="N604" s="236"/>
      <c r="O604" s="237"/>
      <c r="P604" s="236"/>
      <c r="Q604" s="243"/>
    </row>
    <row r="605" spans="2:17" x14ac:dyDescent="0.3">
      <c r="B605" s="230" t="s">
        <v>698</v>
      </c>
      <c r="C605" s="230" t="s">
        <v>701</v>
      </c>
      <c r="D605" s="230" t="s">
        <v>98</v>
      </c>
      <c r="G605" s="200">
        <f ca="1">'MATRIZ COMPLETO PROPOSTA'!H605</f>
        <v>84837.734787666777</v>
      </c>
      <c r="H605" s="200"/>
      <c r="I605" s="200"/>
      <c r="J605" s="200"/>
      <c r="K605" s="200">
        <f t="shared" ca="1" si="32"/>
        <v>84837.734787666777</v>
      </c>
      <c r="M605" s="200">
        <f>'MATRIZ COMPLETO PROPOSTA'!BD605+
 'MATRIZ COMPLETO PROPOSTA'!BA605+
 'MATRIZ COMPLETO PROPOSTA'!AX605+
 'MATRIZ COMPLETO PROPOSTA'!AS605+
 'MATRIZ COMPLETO PROPOSTA'!AM605</f>
        <v>27891.032716458481</v>
      </c>
      <c r="O605" s="200"/>
      <c r="Q605" s="240"/>
    </row>
    <row r="606" spans="2:17" x14ac:dyDescent="0.3">
      <c r="B606" s="235" t="s">
        <v>698</v>
      </c>
      <c r="C606" s="235" t="s">
        <v>702</v>
      </c>
      <c r="D606" s="235" t="s">
        <v>94</v>
      </c>
      <c r="E606" s="236"/>
      <c r="F606" s="236"/>
      <c r="G606" s="237">
        <f ca="1">'MATRIZ COMPLETO PROPOSTA'!H606</f>
        <v>2720188.2499861801</v>
      </c>
      <c r="H606" s="237"/>
      <c r="I606" s="237"/>
      <c r="J606" s="237"/>
      <c r="K606" s="237">
        <f t="shared" ca="1" si="32"/>
        <v>2720188.2499861801</v>
      </c>
      <c r="L606" s="236"/>
      <c r="M606" s="237">
        <f>'MATRIZ COMPLETO PROPOSTA'!BD606+
 'MATRIZ COMPLETO PROPOSTA'!BA606+
 'MATRIZ COMPLETO PROPOSTA'!AX606+
 'MATRIZ COMPLETO PROPOSTA'!AS606+
 'MATRIZ COMPLETO PROPOSTA'!AM606</f>
        <v>1031935.9247040887</v>
      </c>
      <c r="N606" s="236"/>
      <c r="O606" s="237"/>
      <c r="P606" s="236"/>
      <c r="Q606" s="243"/>
    </row>
    <row r="607" spans="2:17" x14ac:dyDescent="0.3">
      <c r="B607" s="230" t="s">
        <v>698</v>
      </c>
      <c r="C607" s="230" t="s">
        <v>703</v>
      </c>
      <c r="D607" s="230" t="s">
        <v>94</v>
      </c>
      <c r="G607" s="200">
        <f ca="1">'MATRIZ COMPLETO PROPOSTA'!H607</f>
        <v>712428.62400449521</v>
      </c>
      <c r="H607" s="200"/>
      <c r="I607" s="200"/>
      <c r="J607" s="200"/>
      <c r="K607" s="200">
        <f t="shared" ca="1" si="32"/>
        <v>712428.62400449521</v>
      </c>
      <c r="M607" s="200">
        <f>'MATRIZ COMPLETO PROPOSTA'!BD607+
 'MATRIZ COMPLETO PROPOSTA'!BA607+
 'MATRIZ COMPLETO PROPOSTA'!AX607+
 'MATRIZ COMPLETO PROPOSTA'!AS607+
 'MATRIZ COMPLETO PROPOSTA'!AM607</f>
        <v>411228.58575109206</v>
      </c>
      <c r="O607" s="200"/>
      <c r="Q607" s="240"/>
    </row>
    <row r="608" spans="2:17" x14ac:dyDescent="0.3">
      <c r="B608" s="235" t="s">
        <v>698</v>
      </c>
      <c r="C608" s="235" t="s">
        <v>704</v>
      </c>
      <c r="D608" s="235" t="s">
        <v>92</v>
      </c>
      <c r="E608" s="236"/>
      <c r="F608" s="236"/>
      <c r="G608" s="237">
        <f ca="1">'MATRIZ COMPLETO PROPOSTA'!H608</f>
        <v>2091514.2248854779</v>
      </c>
      <c r="H608" s="237"/>
      <c r="I608" s="237"/>
      <c r="J608" s="237"/>
      <c r="K608" s="237">
        <f t="shared" ca="1" si="32"/>
        <v>2091514.2248854779</v>
      </c>
      <c r="L608" s="236"/>
      <c r="M608" s="237">
        <f>'MATRIZ COMPLETO PROPOSTA'!BD608+
 'MATRIZ COMPLETO PROPOSTA'!BA608+
 'MATRIZ COMPLETO PROPOSTA'!AX608+
 'MATRIZ COMPLETO PROPOSTA'!AS608+
 'MATRIZ COMPLETO PROPOSTA'!AM608</f>
        <v>855331.27118976624</v>
      </c>
      <c r="N608" s="236"/>
      <c r="O608" s="237"/>
      <c r="P608" s="236"/>
      <c r="Q608" s="243"/>
    </row>
    <row r="609" spans="2:17" x14ac:dyDescent="0.3">
      <c r="G609" s="200"/>
      <c r="H609" s="200"/>
      <c r="I609" s="200"/>
      <c r="J609" s="200"/>
      <c r="K609" s="200"/>
      <c r="M609" s="200"/>
      <c r="O609" s="200"/>
      <c r="Q609" s="240"/>
    </row>
    <row r="610" spans="2:17" x14ac:dyDescent="0.3">
      <c r="B610" s="231" t="s">
        <v>705</v>
      </c>
      <c r="C610" s="231" t="s">
        <v>706</v>
      </c>
      <c r="D610" s="232" t="s">
        <v>154</v>
      </c>
      <c r="E610" s="232"/>
      <c r="F610" s="232"/>
      <c r="G610" s="238">
        <f ca="1">SUM(G611:G628)</f>
        <v>41434169.162542447</v>
      </c>
      <c r="H610" s="238">
        <f>'MATRIZ COMPLETO PROPOSTA'!Y610</f>
        <v>666070.24920027237</v>
      </c>
      <c r="I610" s="238">
        <f>'MATRIZ COMPLETO PROPOSTA'!AA610</f>
        <v>461659.92362897575</v>
      </c>
      <c r="J610" s="238">
        <f>'MATRIZ COMPLETO PROPOSTA'!AC610</f>
        <v>387935.0407285862</v>
      </c>
      <c r="K610" s="238">
        <f ca="1">SUM(G610:J610)</f>
        <v>42949834.376100279</v>
      </c>
      <c r="L610" s="232"/>
      <c r="M610" s="238">
        <f>SUM(M611:M628)</f>
        <v>11064363.280835999</v>
      </c>
      <c r="N610" s="232"/>
      <c r="O610" s="238">
        <f ca="1">K610*'DADOS BASE'!$I$22</f>
        <v>64424.751564150421</v>
      </c>
      <c r="P610" s="232"/>
      <c r="Q610" s="241">
        <f ca="1">SUM(H610:J610)/K610</f>
        <v>3.5289198097612134E-2</v>
      </c>
    </row>
    <row r="611" spans="2:17" x14ac:dyDescent="0.3">
      <c r="B611" s="233" t="s">
        <v>705</v>
      </c>
      <c r="C611" s="234" t="s">
        <v>156</v>
      </c>
      <c r="D611" s="234" t="s">
        <v>157</v>
      </c>
      <c r="E611" s="234"/>
      <c r="F611" s="234"/>
      <c r="G611" s="239">
        <f>('MATRIZ COMPLETO PROPOSTA'!L610+
  'MATRIZ COMPLETO PROPOSTA'!P610*0.25+
  'MATRIZ COMPLETO PROPOSTA'!S610*0.8)
 /
 ('MATRIZ COMPLETO PROPOSTA'!L11+
  'MATRIZ COMPLETO PROPOSTA'!P11*0.25+
  'MATRIZ COMPLETO PROPOSTA'!S11*0.8)
 *
 'DADOS BASE'!$J$93</f>
        <v>4603796.5736158276</v>
      </c>
      <c r="H611" s="239"/>
      <c r="I611" s="239"/>
      <c r="J611" s="239"/>
      <c r="K611" s="239">
        <f t="shared" ref="K611:K628" si="33">J611+I611+H611+G611</f>
        <v>4603796.5736158276</v>
      </c>
      <c r="L611" s="234"/>
      <c r="M611" s="239">
        <f>'MATRIZ COMPLETO PROPOSTA'!BD611+
 'MATRIZ COMPLETO PROPOSTA'!BA611+
 'MATRIZ COMPLETO PROPOSTA'!AX611+
 'MATRIZ COMPLETO PROPOSTA'!AS611+
 'MATRIZ COMPLETO PROPOSTA'!AM611</f>
        <v>0</v>
      </c>
      <c r="N611" s="234"/>
      <c r="O611" s="239"/>
      <c r="P611" s="234"/>
      <c r="Q611" s="242"/>
    </row>
    <row r="612" spans="2:17" x14ac:dyDescent="0.3">
      <c r="B612" s="235" t="s">
        <v>705</v>
      </c>
      <c r="C612" s="235" t="s">
        <v>707</v>
      </c>
      <c r="D612" s="235" t="s">
        <v>94</v>
      </c>
      <c r="E612" s="236"/>
      <c r="F612" s="236"/>
      <c r="G612" s="237">
        <f ca="1">'MATRIZ COMPLETO PROPOSTA'!H612</f>
        <v>1693133.3059137245</v>
      </c>
      <c r="H612" s="237"/>
      <c r="I612" s="237"/>
      <c r="J612" s="237"/>
      <c r="K612" s="237">
        <f t="shared" ca="1" si="33"/>
        <v>1693133.3059137245</v>
      </c>
      <c r="L612" s="236"/>
      <c r="M612" s="237">
        <f>'MATRIZ COMPLETO PROPOSTA'!BD612+
 'MATRIZ COMPLETO PROPOSTA'!BA612+
 'MATRIZ COMPLETO PROPOSTA'!AX612+
 'MATRIZ COMPLETO PROPOSTA'!AS612+
 'MATRIZ COMPLETO PROPOSTA'!AM612</f>
        <v>479474.37996901001</v>
      </c>
      <c r="N612" s="236"/>
      <c r="O612" s="237"/>
      <c r="P612" s="236"/>
      <c r="Q612" s="243"/>
    </row>
    <row r="613" spans="2:17" x14ac:dyDescent="0.3">
      <c r="B613" s="230" t="s">
        <v>705</v>
      </c>
      <c r="C613" s="230" t="s">
        <v>708</v>
      </c>
      <c r="D613" s="230" t="s">
        <v>98</v>
      </c>
      <c r="G613" s="200">
        <f ca="1">'MATRIZ COMPLETO PROPOSTA'!H613</f>
        <v>1390368.1321570782</v>
      </c>
      <c r="H613" s="200"/>
      <c r="I613" s="200"/>
      <c r="J613" s="200"/>
      <c r="K613" s="200">
        <f t="shared" ca="1" si="33"/>
        <v>1390368.1321570782</v>
      </c>
      <c r="M613" s="200">
        <f>'MATRIZ COMPLETO PROPOSTA'!BD613+
 'MATRIZ COMPLETO PROPOSTA'!BA613+
 'MATRIZ COMPLETO PROPOSTA'!AX613+
 'MATRIZ COMPLETO PROPOSTA'!AS613+
 'MATRIZ COMPLETO PROPOSTA'!AM613</f>
        <v>373339.52421355539</v>
      </c>
      <c r="O613" s="200"/>
      <c r="Q613" s="240"/>
    </row>
    <row r="614" spans="2:17" x14ac:dyDescent="0.3">
      <c r="B614" s="235" t="s">
        <v>705</v>
      </c>
      <c r="C614" s="235" t="s">
        <v>709</v>
      </c>
      <c r="D614" s="235" t="s">
        <v>92</v>
      </c>
      <c r="E614" s="236"/>
      <c r="F614" s="236"/>
      <c r="G614" s="237">
        <f ca="1">'MATRIZ COMPLETO PROPOSTA'!H614</f>
        <v>8178410.4296974735</v>
      </c>
      <c r="H614" s="237"/>
      <c r="I614" s="237"/>
      <c r="J614" s="237"/>
      <c r="K614" s="237">
        <f t="shared" ca="1" si="33"/>
        <v>8178410.4296974735</v>
      </c>
      <c r="L614" s="236"/>
      <c r="M614" s="237">
        <f>'MATRIZ COMPLETO PROPOSTA'!BD614+
 'MATRIZ COMPLETO PROPOSTA'!BA614+
 'MATRIZ COMPLETO PROPOSTA'!AX614+
 'MATRIZ COMPLETO PROPOSTA'!AS614+
 'MATRIZ COMPLETO PROPOSTA'!AM614</f>
        <v>1806930.1219271086</v>
      </c>
      <c r="N614" s="236"/>
      <c r="O614" s="237"/>
      <c r="P614" s="236"/>
      <c r="Q614" s="243"/>
    </row>
    <row r="615" spans="2:17" x14ac:dyDescent="0.3">
      <c r="B615" s="230" t="s">
        <v>705</v>
      </c>
      <c r="C615" s="230" t="s">
        <v>710</v>
      </c>
      <c r="D615" s="230" t="s">
        <v>94</v>
      </c>
      <c r="G615" s="200">
        <f ca="1">'MATRIZ COMPLETO PROPOSTA'!H615</f>
        <v>1402183.4214745453</v>
      </c>
      <c r="H615" s="200"/>
      <c r="I615" s="200"/>
      <c r="J615" s="200"/>
      <c r="K615" s="200">
        <f t="shared" ca="1" si="33"/>
        <v>1402183.4214745453</v>
      </c>
      <c r="M615" s="200">
        <f>'MATRIZ COMPLETO PROPOSTA'!BD615+
 'MATRIZ COMPLETO PROPOSTA'!BA615+
 'MATRIZ COMPLETO PROPOSTA'!AX615+
 'MATRIZ COMPLETO PROPOSTA'!AS615+
 'MATRIZ COMPLETO PROPOSTA'!AM615</f>
        <v>448565.65963790723</v>
      </c>
      <c r="O615" s="200"/>
      <c r="Q615" s="240"/>
    </row>
    <row r="616" spans="2:17" x14ac:dyDescent="0.3">
      <c r="B616" s="235" t="s">
        <v>705</v>
      </c>
      <c r="C616" s="235" t="s">
        <v>711</v>
      </c>
      <c r="D616" s="235" t="s">
        <v>94</v>
      </c>
      <c r="E616" s="236"/>
      <c r="F616" s="236"/>
      <c r="G616" s="237">
        <f ca="1">'MATRIZ COMPLETO PROPOSTA'!H616</f>
        <v>3198067.3333343635</v>
      </c>
      <c r="H616" s="237"/>
      <c r="I616" s="237"/>
      <c r="J616" s="237"/>
      <c r="K616" s="237">
        <f t="shared" ca="1" si="33"/>
        <v>3198067.3333343635</v>
      </c>
      <c r="L616" s="236"/>
      <c r="M616" s="237">
        <f>'MATRIZ COMPLETO PROPOSTA'!BD616+
 'MATRIZ COMPLETO PROPOSTA'!BA616+
 'MATRIZ COMPLETO PROPOSTA'!AX616+
 'MATRIZ COMPLETO PROPOSTA'!AS616+
 'MATRIZ COMPLETO PROPOSTA'!AM616</f>
        <v>779934.21007854654</v>
      </c>
      <c r="N616" s="236"/>
      <c r="O616" s="237"/>
      <c r="P616" s="236"/>
      <c r="Q616" s="243"/>
    </row>
    <row r="617" spans="2:17" x14ac:dyDescent="0.3">
      <c r="B617" s="230" t="s">
        <v>705</v>
      </c>
      <c r="C617" s="230" t="s">
        <v>712</v>
      </c>
      <c r="D617" s="230" t="s">
        <v>94</v>
      </c>
      <c r="G617" s="200">
        <f ca="1">'MATRIZ COMPLETO PROPOSTA'!H617</f>
        <v>1258676.8683646386</v>
      </c>
      <c r="H617" s="200"/>
      <c r="I617" s="200"/>
      <c r="J617" s="200"/>
      <c r="K617" s="200">
        <f t="shared" ca="1" si="33"/>
        <v>1258676.8683646386</v>
      </c>
      <c r="M617" s="200">
        <f>'MATRIZ COMPLETO PROPOSTA'!BD617+
 'MATRIZ COMPLETO PROPOSTA'!BA617+
 'MATRIZ COMPLETO PROPOSTA'!AX617+
 'MATRIZ COMPLETO PROPOSTA'!AS617+
 'MATRIZ COMPLETO PROPOSTA'!AM617</f>
        <v>355868.38682838646</v>
      </c>
      <c r="O617" s="200"/>
      <c r="Q617" s="240"/>
    </row>
    <row r="618" spans="2:17" x14ac:dyDescent="0.3">
      <c r="B618" s="235" t="s">
        <v>705</v>
      </c>
      <c r="C618" s="235" t="s">
        <v>713</v>
      </c>
      <c r="D618" s="235" t="s">
        <v>94</v>
      </c>
      <c r="E618" s="236"/>
      <c r="F618" s="236"/>
      <c r="G618" s="237">
        <f ca="1">'MATRIZ COMPLETO PROPOSTA'!H618</f>
        <v>2114790.4230352938</v>
      </c>
      <c r="H618" s="237"/>
      <c r="I618" s="237"/>
      <c r="J618" s="237"/>
      <c r="K618" s="237">
        <f t="shared" ca="1" si="33"/>
        <v>2114790.4230352938</v>
      </c>
      <c r="L618" s="236"/>
      <c r="M618" s="237">
        <f>'MATRIZ COMPLETO PROPOSTA'!BD618+
 'MATRIZ COMPLETO PROPOSTA'!BA618+
 'MATRIZ COMPLETO PROPOSTA'!AX618+
 'MATRIZ COMPLETO PROPOSTA'!AS618+
 'MATRIZ COMPLETO PROPOSTA'!AM618</f>
        <v>586077.33502794942</v>
      </c>
      <c r="N618" s="236"/>
      <c r="O618" s="237"/>
      <c r="P618" s="236"/>
      <c r="Q618" s="243"/>
    </row>
    <row r="619" spans="2:17" x14ac:dyDescent="0.3">
      <c r="B619" s="230" t="s">
        <v>705</v>
      </c>
      <c r="C619" s="230" t="s">
        <v>714</v>
      </c>
      <c r="D619" s="230" t="s">
        <v>94</v>
      </c>
      <c r="G619" s="200">
        <f ca="1">'MATRIZ COMPLETO PROPOSTA'!H619</f>
        <v>1768632.137326129</v>
      </c>
      <c r="H619" s="200"/>
      <c r="I619" s="200"/>
      <c r="J619" s="200"/>
      <c r="K619" s="200">
        <f t="shared" ca="1" si="33"/>
        <v>1768632.137326129</v>
      </c>
      <c r="M619" s="200">
        <f>'MATRIZ COMPLETO PROPOSTA'!BD619+
 'MATRIZ COMPLETO PROPOSTA'!BA619+
 'MATRIZ COMPLETO PROPOSTA'!AX619+
 'MATRIZ COMPLETO PROPOSTA'!AS619+
 'MATRIZ COMPLETO PROPOSTA'!AM619</f>
        <v>489375.4157946083</v>
      </c>
      <c r="O619" s="200"/>
      <c r="Q619" s="240"/>
    </row>
    <row r="620" spans="2:17" x14ac:dyDescent="0.3">
      <c r="B620" s="235" t="s">
        <v>705</v>
      </c>
      <c r="C620" s="235" t="s">
        <v>715</v>
      </c>
      <c r="D620" s="235" t="s">
        <v>92</v>
      </c>
      <c r="E620" s="236"/>
      <c r="F620" s="236"/>
      <c r="G620" s="237">
        <f ca="1">'MATRIZ COMPLETO PROPOSTA'!H620</f>
        <v>2163205.3107736683</v>
      </c>
      <c r="H620" s="237"/>
      <c r="I620" s="237"/>
      <c r="J620" s="237"/>
      <c r="K620" s="237">
        <f t="shared" ca="1" si="33"/>
        <v>2163205.3107736683</v>
      </c>
      <c r="L620" s="236"/>
      <c r="M620" s="237">
        <f>'MATRIZ COMPLETO PROPOSTA'!BD620+
 'MATRIZ COMPLETO PROPOSTA'!BA620+
 'MATRIZ COMPLETO PROPOSTA'!AX620+
 'MATRIZ COMPLETO PROPOSTA'!AS620+
 'MATRIZ COMPLETO PROPOSTA'!AM620</f>
        <v>478433.7220765099</v>
      </c>
      <c r="N620" s="236"/>
      <c r="O620" s="237"/>
      <c r="P620" s="236"/>
      <c r="Q620" s="243"/>
    </row>
    <row r="621" spans="2:17" x14ac:dyDescent="0.3">
      <c r="B621" s="230" t="s">
        <v>705</v>
      </c>
      <c r="C621" s="230" t="s">
        <v>716</v>
      </c>
      <c r="D621" s="230" t="s">
        <v>94</v>
      </c>
      <c r="G621" s="200">
        <f ca="1">'MATRIZ COMPLETO PROPOSTA'!H621</f>
        <v>1664523.429301739</v>
      </c>
      <c r="H621" s="200"/>
      <c r="I621" s="200"/>
      <c r="J621" s="200"/>
      <c r="K621" s="200">
        <f t="shared" ca="1" si="33"/>
        <v>1664523.429301739</v>
      </c>
      <c r="M621" s="200">
        <f>'MATRIZ COMPLETO PROPOSTA'!BD621+
 'MATRIZ COMPLETO PROPOSTA'!BA621+
 'MATRIZ COMPLETO PROPOSTA'!AX621+
 'MATRIZ COMPLETO PROPOSTA'!AS621+
 'MATRIZ COMPLETO PROPOSTA'!AM621</f>
        <v>565690.2816821622</v>
      </c>
      <c r="O621" s="200"/>
      <c r="Q621" s="240"/>
    </row>
    <row r="622" spans="2:17" x14ac:dyDescent="0.3">
      <c r="B622" s="235" t="s">
        <v>705</v>
      </c>
      <c r="C622" s="235" t="s">
        <v>717</v>
      </c>
      <c r="D622" s="235" t="s">
        <v>94</v>
      </c>
      <c r="E622" s="236"/>
      <c r="F622" s="236"/>
      <c r="G622" s="237">
        <f ca="1">'MATRIZ COMPLETO PROPOSTA'!H622</f>
        <v>1417335.2347908642</v>
      </c>
      <c r="H622" s="237"/>
      <c r="I622" s="237"/>
      <c r="J622" s="237"/>
      <c r="K622" s="237">
        <f t="shared" ca="1" si="33"/>
        <v>1417335.2347908642</v>
      </c>
      <c r="L622" s="236"/>
      <c r="M622" s="237">
        <f>'MATRIZ COMPLETO PROPOSTA'!BD622+
 'MATRIZ COMPLETO PROPOSTA'!BA622+
 'MATRIZ COMPLETO PROPOSTA'!AX622+
 'MATRIZ COMPLETO PROPOSTA'!AS622+
 'MATRIZ COMPLETO PROPOSTA'!AM622</f>
        <v>483480.26352320326</v>
      </c>
      <c r="N622" s="236"/>
      <c r="O622" s="237"/>
      <c r="P622" s="236"/>
      <c r="Q622" s="243"/>
    </row>
    <row r="623" spans="2:17" x14ac:dyDescent="0.3">
      <c r="B623" s="230" t="s">
        <v>705</v>
      </c>
      <c r="C623" s="230" t="s">
        <v>718</v>
      </c>
      <c r="D623" s="230" t="s">
        <v>94</v>
      </c>
      <c r="G623" s="200">
        <f ca="1">'MATRIZ COMPLETO PROPOSTA'!H623</f>
        <v>1527301.417887225</v>
      </c>
      <c r="H623" s="200"/>
      <c r="I623" s="200"/>
      <c r="J623" s="200"/>
      <c r="K623" s="200">
        <f t="shared" ca="1" si="33"/>
        <v>1527301.417887225</v>
      </c>
      <c r="M623" s="200">
        <f>'MATRIZ COMPLETO PROPOSTA'!BD623+
 'MATRIZ COMPLETO PROPOSTA'!BA623+
 'MATRIZ COMPLETO PROPOSTA'!AX623+
 'MATRIZ COMPLETO PROPOSTA'!AS623+
 'MATRIZ COMPLETO PROPOSTA'!AM623</f>
        <v>484864.42075693549</v>
      </c>
      <c r="O623" s="200"/>
      <c r="Q623" s="240"/>
    </row>
    <row r="624" spans="2:17" x14ac:dyDescent="0.3">
      <c r="B624" s="235" t="s">
        <v>705</v>
      </c>
      <c r="C624" s="235" t="s">
        <v>719</v>
      </c>
      <c r="D624" s="235" t="s">
        <v>94</v>
      </c>
      <c r="E624" s="236"/>
      <c r="F624" s="236"/>
      <c r="G624" s="237">
        <f ca="1">'MATRIZ COMPLETO PROPOSTA'!H624</f>
        <v>2785489.1585709043</v>
      </c>
      <c r="H624" s="237"/>
      <c r="I624" s="237"/>
      <c r="J624" s="237"/>
      <c r="K624" s="237">
        <f t="shared" ca="1" si="33"/>
        <v>2785489.1585709043</v>
      </c>
      <c r="L624" s="236"/>
      <c r="M624" s="237">
        <f>'MATRIZ COMPLETO PROPOSTA'!BD624+
 'MATRIZ COMPLETO PROPOSTA'!BA624+
 'MATRIZ COMPLETO PROPOSTA'!AX624+
 'MATRIZ COMPLETO PROPOSTA'!AS624+
 'MATRIZ COMPLETO PROPOSTA'!AM624</f>
        <v>711686.99526112713</v>
      </c>
      <c r="N624" s="236"/>
      <c r="O624" s="237"/>
      <c r="P624" s="236"/>
      <c r="Q624" s="243"/>
    </row>
    <row r="625" spans="2:17" x14ac:dyDescent="0.3">
      <c r="B625" s="230" t="s">
        <v>705</v>
      </c>
      <c r="C625" s="230" t="s">
        <v>720</v>
      </c>
      <c r="D625" s="230" t="s">
        <v>92</v>
      </c>
      <c r="G625" s="200">
        <f ca="1">'MATRIZ COMPLETO PROPOSTA'!H625</f>
        <v>1016546.5311058776</v>
      </c>
      <c r="H625" s="200"/>
      <c r="I625" s="200"/>
      <c r="J625" s="200"/>
      <c r="K625" s="200">
        <f t="shared" ca="1" si="33"/>
        <v>1016546.5311058776</v>
      </c>
      <c r="M625" s="200">
        <f>'MATRIZ COMPLETO PROPOSTA'!BD625+
 'MATRIZ COMPLETO PROPOSTA'!BA625+
 'MATRIZ COMPLETO PROPOSTA'!AX625+
 'MATRIZ COMPLETO PROPOSTA'!AS625+
 'MATRIZ COMPLETO PROPOSTA'!AM625</f>
        <v>368644.84735496808</v>
      </c>
      <c r="O625" s="200"/>
      <c r="Q625" s="240"/>
    </row>
    <row r="626" spans="2:17" x14ac:dyDescent="0.3">
      <c r="B626" s="235" t="s">
        <v>705</v>
      </c>
      <c r="C626" s="235" t="s">
        <v>721</v>
      </c>
      <c r="D626" s="235" t="s">
        <v>92</v>
      </c>
      <c r="E626" s="236"/>
      <c r="F626" s="236"/>
      <c r="G626" s="237">
        <f ca="1">'MATRIZ COMPLETO PROPOSTA'!H626</f>
        <v>3517265.576762083</v>
      </c>
      <c r="H626" s="237"/>
      <c r="I626" s="237"/>
      <c r="J626" s="237"/>
      <c r="K626" s="237">
        <f t="shared" ca="1" si="33"/>
        <v>3517265.576762083</v>
      </c>
      <c r="L626" s="236"/>
      <c r="M626" s="237">
        <f>'MATRIZ COMPLETO PROPOSTA'!BD626+
 'MATRIZ COMPLETO PROPOSTA'!BA626+
 'MATRIZ COMPLETO PROPOSTA'!AX626+
 'MATRIZ COMPLETO PROPOSTA'!AS626+
 'MATRIZ COMPLETO PROPOSTA'!AM626</f>
        <v>2091994.5232641671</v>
      </c>
      <c r="N626" s="236"/>
      <c r="O626" s="237"/>
      <c r="P626" s="236"/>
      <c r="Q626" s="243"/>
    </row>
    <row r="627" spans="2:17" x14ac:dyDescent="0.3">
      <c r="B627" s="230" t="s">
        <v>705</v>
      </c>
      <c r="C627" s="230" t="s">
        <v>722</v>
      </c>
      <c r="D627" s="230" t="s">
        <v>92</v>
      </c>
      <c r="G627" s="200">
        <f ca="1">'MATRIZ COMPLETO PROPOSTA'!H627</f>
        <v>1284240.4186069339</v>
      </c>
      <c r="H627" s="200"/>
      <c r="I627" s="200"/>
      <c r="J627" s="200"/>
      <c r="K627" s="200">
        <f t="shared" ca="1" si="33"/>
        <v>1284240.4186069339</v>
      </c>
      <c r="M627" s="200">
        <f>'MATRIZ COMPLETO PROPOSTA'!BD627+
 'MATRIZ COMPLETO PROPOSTA'!BA627+
 'MATRIZ COMPLETO PROPOSTA'!AX627+
 'MATRIZ COMPLETO PROPOSTA'!AS627+
 'MATRIZ COMPLETO PROPOSTA'!AM627</f>
        <v>310263.06272177317</v>
      </c>
      <c r="O627" s="200"/>
      <c r="Q627" s="240"/>
    </row>
    <row r="628" spans="2:17" x14ac:dyDescent="0.3">
      <c r="B628" s="235" t="s">
        <v>705</v>
      </c>
      <c r="C628" s="235" t="s">
        <v>723</v>
      </c>
      <c r="D628" s="235" t="s">
        <v>94</v>
      </c>
      <c r="E628" s="236"/>
      <c r="F628" s="236"/>
      <c r="G628" s="237">
        <f ca="1">'MATRIZ COMPLETO PROPOSTA'!H628</f>
        <v>450203.45982408035</v>
      </c>
      <c r="H628" s="237"/>
      <c r="I628" s="237"/>
      <c r="J628" s="237"/>
      <c r="K628" s="237">
        <f t="shared" ca="1" si="33"/>
        <v>450203.45982408035</v>
      </c>
      <c r="L628" s="236"/>
      <c r="M628" s="237">
        <f>'MATRIZ COMPLETO PROPOSTA'!BD628+
 'MATRIZ COMPLETO PROPOSTA'!BA628+
 'MATRIZ COMPLETO PROPOSTA'!AX628+
 'MATRIZ COMPLETO PROPOSTA'!AS628+
 'MATRIZ COMPLETO PROPOSTA'!AM628</f>
        <v>249740.13071807983</v>
      </c>
      <c r="N628" s="236"/>
      <c r="O628" s="237"/>
      <c r="P628" s="236"/>
      <c r="Q628" s="243"/>
    </row>
    <row r="629" spans="2:17" x14ac:dyDescent="0.3">
      <c r="G629" s="200"/>
      <c r="H629" s="200"/>
      <c r="I629" s="200"/>
      <c r="J629" s="200"/>
      <c r="K629" s="200"/>
      <c r="M629" s="200"/>
      <c r="O629" s="200"/>
      <c r="Q629" s="240"/>
    </row>
    <row r="630" spans="2:17" x14ac:dyDescent="0.3">
      <c r="B630" s="231" t="s">
        <v>705</v>
      </c>
      <c r="C630" s="231" t="s">
        <v>724</v>
      </c>
      <c r="D630" s="232" t="s">
        <v>154</v>
      </c>
      <c r="E630" s="232"/>
      <c r="F630" s="232"/>
      <c r="G630" s="238">
        <f ca="1">SUM(G631:G642)</f>
        <v>31932290.45356768</v>
      </c>
      <c r="H630" s="238">
        <f>'MATRIZ COMPLETO PROPOSTA'!Y630</f>
        <v>707317.71876083955</v>
      </c>
      <c r="I630" s="238">
        <f>'MATRIZ COMPLETO PROPOSTA'!AA630</f>
        <v>988047.42417912767</v>
      </c>
      <c r="J630" s="238">
        <f>'MATRIZ COMPLETO PROPOSTA'!AC630</f>
        <v>628868.27894384891</v>
      </c>
      <c r="K630" s="238">
        <f ca="1">SUM(G630:J630)</f>
        <v>34256523.875451498</v>
      </c>
      <c r="L630" s="232"/>
      <c r="M630" s="238">
        <f>SUM(M631:M642)</f>
        <v>13647493.046506651</v>
      </c>
      <c r="N630" s="232"/>
      <c r="O630" s="238">
        <f ca="1">K630*'DADOS BASE'!$I$22</f>
        <v>51384.785813177245</v>
      </c>
      <c r="P630" s="232"/>
      <c r="Q630" s="241">
        <f ca="1">SUM(H630:J630)/K630</f>
        <v>6.784790629470086E-2</v>
      </c>
    </row>
    <row r="631" spans="2:17" x14ac:dyDescent="0.3">
      <c r="B631" s="233" t="s">
        <v>705</v>
      </c>
      <c r="C631" s="234" t="s">
        <v>156</v>
      </c>
      <c r="D631" s="234" t="s">
        <v>157</v>
      </c>
      <c r="E631" s="234"/>
      <c r="F631" s="234"/>
      <c r="G631" s="239">
        <f>('MATRIZ COMPLETO PROPOSTA'!L630+
  'MATRIZ COMPLETO PROPOSTA'!P630*0.25+
  'MATRIZ COMPLETO PROPOSTA'!S630*0.8)
 /
 ('MATRIZ COMPLETO PROPOSTA'!L11+
  'MATRIZ COMPLETO PROPOSTA'!P11*0.25+
  'MATRIZ COMPLETO PROPOSTA'!S11*0.8)
 *
 'DADOS BASE'!$J$93</f>
        <v>3548032.2726186309</v>
      </c>
      <c r="H631" s="239"/>
      <c r="I631" s="239"/>
      <c r="J631" s="239"/>
      <c r="K631" s="239">
        <f t="shared" ref="K631:K642" si="34">J631+I631+H631+G631</f>
        <v>3548032.2726186309</v>
      </c>
      <c r="L631" s="234"/>
      <c r="M631" s="239">
        <f>'MATRIZ COMPLETO PROPOSTA'!BD631+
 'MATRIZ COMPLETO PROPOSTA'!BA631+
 'MATRIZ COMPLETO PROPOSTA'!AX631+
 'MATRIZ COMPLETO PROPOSTA'!AS631+
 'MATRIZ COMPLETO PROPOSTA'!AM631</f>
        <v>0</v>
      </c>
      <c r="N631" s="234"/>
      <c r="O631" s="239"/>
      <c r="P631" s="234"/>
      <c r="Q631" s="242"/>
    </row>
    <row r="632" spans="2:17" x14ac:dyDescent="0.3">
      <c r="B632" s="235" t="s">
        <v>705</v>
      </c>
      <c r="C632" s="235" t="s">
        <v>725</v>
      </c>
      <c r="D632" s="235" t="s">
        <v>92</v>
      </c>
      <c r="E632" s="236"/>
      <c r="F632" s="236"/>
      <c r="G632" s="237">
        <f ca="1">'MATRIZ COMPLETO PROPOSTA'!H632</f>
        <v>4627344.7988394611</v>
      </c>
      <c r="H632" s="237"/>
      <c r="I632" s="237"/>
      <c r="J632" s="237"/>
      <c r="K632" s="237">
        <f t="shared" ca="1" si="34"/>
        <v>4627344.7988394611</v>
      </c>
      <c r="L632" s="236"/>
      <c r="M632" s="237">
        <f>'MATRIZ COMPLETO PROPOSTA'!BD632+
 'MATRIZ COMPLETO PROPOSTA'!BA632+
 'MATRIZ COMPLETO PROPOSTA'!AX632+
 'MATRIZ COMPLETO PROPOSTA'!AS632+
 'MATRIZ COMPLETO PROPOSTA'!AM632</f>
        <v>2344514.1043246337</v>
      </c>
      <c r="N632" s="236"/>
      <c r="O632" s="237"/>
      <c r="P632" s="236"/>
      <c r="Q632" s="243"/>
    </row>
    <row r="633" spans="2:17" x14ac:dyDescent="0.3">
      <c r="B633" s="230" t="s">
        <v>705</v>
      </c>
      <c r="C633" s="230" t="s">
        <v>726</v>
      </c>
      <c r="D633" s="230" t="s">
        <v>98</v>
      </c>
      <c r="G633" s="200">
        <f ca="1">'MATRIZ COMPLETO PROPOSTA'!H633</f>
        <v>669960.57563577732</v>
      </c>
      <c r="H633" s="200"/>
      <c r="I633" s="200"/>
      <c r="J633" s="200"/>
      <c r="K633" s="200">
        <f t="shared" ca="1" si="34"/>
        <v>669960.57563577732</v>
      </c>
      <c r="M633" s="200">
        <f>'MATRIZ COMPLETO PROPOSTA'!BD633+
 'MATRIZ COMPLETO PROPOSTA'!BA633+
 'MATRIZ COMPLETO PROPOSTA'!AX633+
 'MATRIZ COMPLETO PROPOSTA'!AS633+
 'MATRIZ COMPLETO PROPOSTA'!AM633</f>
        <v>266309.66187730402</v>
      </c>
      <c r="O633" s="200"/>
      <c r="Q633" s="240"/>
    </row>
    <row r="634" spans="2:17" x14ac:dyDescent="0.3">
      <c r="B634" s="235" t="s">
        <v>705</v>
      </c>
      <c r="C634" s="235" t="s">
        <v>727</v>
      </c>
      <c r="D634" s="235" t="s">
        <v>92</v>
      </c>
      <c r="E634" s="236"/>
      <c r="F634" s="236"/>
      <c r="G634" s="237">
        <f ca="1">'MATRIZ COMPLETO PROPOSTA'!H634</f>
        <v>3273730.8302831552</v>
      </c>
      <c r="H634" s="237"/>
      <c r="I634" s="237"/>
      <c r="J634" s="237"/>
      <c r="K634" s="237">
        <f t="shared" ca="1" si="34"/>
        <v>3273730.8302831552</v>
      </c>
      <c r="L634" s="236"/>
      <c r="M634" s="237">
        <f>'MATRIZ COMPLETO PROPOSTA'!BD634+
 'MATRIZ COMPLETO PROPOSTA'!BA634+
 'MATRIZ COMPLETO PROPOSTA'!AX634+
 'MATRIZ COMPLETO PROPOSTA'!AS634+
 'MATRIZ COMPLETO PROPOSTA'!AM634</f>
        <v>1863325.9993115382</v>
      </c>
      <c r="N634" s="236"/>
      <c r="O634" s="237"/>
      <c r="P634" s="236"/>
      <c r="Q634" s="243"/>
    </row>
    <row r="635" spans="2:17" x14ac:dyDescent="0.3">
      <c r="B635" s="230" t="s">
        <v>705</v>
      </c>
      <c r="C635" s="230" t="s">
        <v>728</v>
      </c>
      <c r="D635" s="230" t="s">
        <v>92</v>
      </c>
      <c r="G635" s="200">
        <f ca="1">'MATRIZ COMPLETO PROPOSTA'!H635</f>
        <v>1049935.1017945721</v>
      </c>
      <c r="H635" s="200"/>
      <c r="I635" s="200"/>
      <c r="J635" s="200"/>
      <c r="K635" s="200">
        <f t="shared" ca="1" si="34"/>
        <v>1049935.1017945721</v>
      </c>
      <c r="M635" s="200">
        <f>'MATRIZ COMPLETO PROPOSTA'!BD635+
 'MATRIZ COMPLETO PROPOSTA'!BA635+
 'MATRIZ COMPLETO PROPOSTA'!AX635+
 'MATRIZ COMPLETO PROPOSTA'!AS635+
 'MATRIZ COMPLETO PROPOSTA'!AM635</f>
        <v>1281629.6412488057</v>
      </c>
      <c r="O635" s="200"/>
      <c r="Q635" s="240"/>
    </row>
    <row r="636" spans="2:17" x14ac:dyDescent="0.3">
      <c r="B636" s="235" t="s">
        <v>705</v>
      </c>
      <c r="C636" s="235" t="s">
        <v>729</v>
      </c>
      <c r="D636" s="235" t="s">
        <v>92</v>
      </c>
      <c r="E636" s="236"/>
      <c r="F636" s="236"/>
      <c r="G636" s="237">
        <f ca="1">'MATRIZ COMPLETO PROPOSTA'!H636</f>
        <v>2791225.3343346482</v>
      </c>
      <c r="H636" s="237"/>
      <c r="I636" s="237"/>
      <c r="J636" s="237"/>
      <c r="K636" s="237">
        <f t="shared" ca="1" si="34"/>
        <v>2791225.3343346482</v>
      </c>
      <c r="L636" s="236"/>
      <c r="M636" s="237">
        <f>'MATRIZ COMPLETO PROPOSTA'!BD636+
 'MATRIZ COMPLETO PROPOSTA'!BA636+
 'MATRIZ COMPLETO PROPOSTA'!AX636+
 'MATRIZ COMPLETO PROPOSTA'!AS636+
 'MATRIZ COMPLETO PROPOSTA'!AM636</f>
        <v>828454.31925165816</v>
      </c>
      <c r="N636" s="236"/>
      <c r="O636" s="237"/>
      <c r="P636" s="236"/>
      <c r="Q636" s="243"/>
    </row>
    <row r="637" spans="2:17" x14ac:dyDescent="0.3">
      <c r="B637" s="230" t="s">
        <v>705</v>
      </c>
      <c r="C637" s="230" t="s">
        <v>730</v>
      </c>
      <c r="D637" s="230" t="s">
        <v>92</v>
      </c>
      <c r="G637" s="200">
        <f ca="1">'MATRIZ COMPLETO PROPOSTA'!H637</f>
        <v>2410974.5286259204</v>
      </c>
      <c r="H637" s="200"/>
      <c r="I637" s="200"/>
      <c r="J637" s="200"/>
      <c r="K637" s="200">
        <f t="shared" ca="1" si="34"/>
        <v>2410974.5286259204</v>
      </c>
      <c r="M637" s="200">
        <f>'MATRIZ COMPLETO PROPOSTA'!BD637+
 'MATRIZ COMPLETO PROPOSTA'!BA637+
 'MATRIZ COMPLETO PROPOSTA'!AX637+
 'MATRIZ COMPLETO PROPOSTA'!AS637+
 'MATRIZ COMPLETO PROPOSTA'!AM637</f>
        <v>697435.10231228301</v>
      </c>
      <c r="O637" s="200"/>
      <c r="Q637" s="240"/>
    </row>
    <row r="638" spans="2:17" x14ac:dyDescent="0.3">
      <c r="B638" s="235" t="s">
        <v>705</v>
      </c>
      <c r="C638" s="235" t="s">
        <v>731</v>
      </c>
      <c r="D638" s="235" t="s">
        <v>94</v>
      </c>
      <c r="E638" s="236"/>
      <c r="F638" s="236"/>
      <c r="G638" s="237">
        <f ca="1">'MATRIZ COMPLETO PROPOSTA'!H638</f>
        <v>2164881.2093837466</v>
      </c>
      <c r="H638" s="237"/>
      <c r="I638" s="237"/>
      <c r="J638" s="237"/>
      <c r="K638" s="237">
        <f t="shared" ca="1" si="34"/>
        <v>2164881.2093837466</v>
      </c>
      <c r="L638" s="236"/>
      <c r="M638" s="237">
        <f>'MATRIZ COMPLETO PROPOSTA'!BD638+
 'MATRIZ COMPLETO PROPOSTA'!BA638+
 'MATRIZ COMPLETO PROPOSTA'!AX638+
 'MATRIZ COMPLETO PROPOSTA'!AS638+
 'MATRIZ COMPLETO PROPOSTA'!AM638</f>
        <v>670197.87248521438</v>
      </c>
      <c r="N638" s="236"/>
      <c r="O638" s="237"/>
      <c r="P638" s="236"/>
      <c r="Q638" s="243"/>
    </row>
    <row r="639" spans="2:17" x14ac:dyDescent="0.3">
      <c r="B639" s="230" t="s">
        <v>705</v>
      </c>
      <c r="C639" s="230" t="s">
        <v>732</v>
      </c>
      <c r="D639" s="230" t="s">
        <v>92</v>
      </c>
      <c r="G639" s="200">
        <f ca="1">'MATRIZ COMPLETO PROPOSTA'!H639</f>
        <v>1856690.5377269129</v>
      </c>
      <c r="H639" s="200"/>
      <c r="I639" s="200"/>
      <c r="J639" s="200"/>
      <c r="K639" s="200">
        <f t="shared" ca="1" si="34"/>
        <v>1856690.5377269129</v>
      </c>
      <c r="M639" s="200">
        <f>'MATRIZ COMPLETO PROPOSTA'!BD639+
 'MATRIZ COMPLETO PROPOSTA'!BA639+
 'MATRIZ COMPLETO PROPOSTA'!AX639+
 'MATRIZ COMPLETO PROPOSTA'!AS639+
 'MATRIZ COMPLETO PROPOSTA'!AM639</f>
        <v>518059.16347538179</v>
      </c>
      <c r="O639" s="200"/>
      <c r="Q639" s="240"/>
    </row>
    <row r="640" spans="2:17" x14ac:dyDescent="0.3">
      <c r="B640" s="235" t="s">
        <v>705</v>
      </c>
      <c r="C640" s="235" t="s">
        <v>733</v>
      </c>
      <c r="D640" s="235" t="s">
        <v>92</v>
      </c>
      <c r="E640" s="236"/>
      <c r="F640" s="236"/>
      <c r="G640" s="237">
        <f ca="1">'MATRIZ COMPLETO PROPOSTA'!H640</f>
        <v>2806023.9140599188</v>
      </c>
      <c r="H640" s="237"/>
      <c r="I640" s="237"/>
      <c r="J640" s="237"/>
      <c r="K640" s="237">
        <f t="shared" ca="1" si="34"/>
        <v>2806023.9140599188</v>
      </c>
      <c r="L640" s="236"/>
      <c r="M640" s="237">
        <f>'MATRIZ COMPLETO PROPOSTA'!BD640+
 'MATRIZ COMPLETO PROPOSTA'!BA640+
 'MATRIZ COMPLETO PROPOSTA'!AX640+
 'MATRIZ COMPLETO PROPOSTA'!AS640+
 'MATRIZ COMPLETO PROPOSTA'!AM640</f>
        <v>589272.39190211799</v>
      </c>
      <c r="N640" s="236"/>
      <c r="O640" s="237"/>
      <c r="P640" s="236"/>
      <c r="Q640" s="243"/>
    </row>
    <row r="641" spans="2:17" x14ac:dyDescent="0.3">
      <c r="B641" s="230" t="s">
        <v>705</v>
      </c>
      <c r="C641" s="230" t="s">
        <v>734</v>
      </c>
      <c r="D641" s="230" t="s">
        <v>94</v>
      </c>
      <c r="G641" s="200">
        <f ca="1">'MATRIZ COMPLETO PROPOSTA'!H641</f>
        <v>1764093.9296738997</v>
      </c>
      <c r="H641" s="200"/>
      <c r="I641" s="200"/>
      <c r="J641" s="200"/>
      <c r="K641" s="200">
        <f t="shared" ca="1" si="34"/>
        <v>1764093.9296738997</v>
      </c>
      <c r="M641" s="200">
        <f>'MATRIZ COMPLETO PROPOSTA'!BD641+
 'MATRIZ COMPLETO PROPOSTA'!BA641+
 'MATRIZ COMPLETO PROPOSTA'!AX641+
 'MATRIZ COMPLETO PROPOSTA'!AS641+
 'MATRIZ COMPLETO PROPOSTA'!AM641</f>
        <v>1813101.9266998691</v>
      </c>
      <c r="O641" s="200"/>
      <c r="Q641" s="240"/>
    </row>
    <row r="642" spans="2:17" x14ac:dyDescent="0.3">
      <c r="B642" s="235" t="s">
        <v>705</v>
      </c>
      <c r="C642" s="235" t="s">
        <v>735</v>
      </c>
      <c r="D642" s="235" t="s">
        <v>92</v>
      </c>
      <c r="E642" s="236"/>
      <c r="F642" s="236"/>
      <c r="G642" s="237">
        <f ca="1">'MATRIZ COMPLETO PROPOSTA'!H642</f>
        <v>4969397.4205910349</v>
      </c>
      <c r="H642" s="237"/>
      <c r="I642" s="237"/>
      <c r="J642" s="237"/>
      <c r="K642" s="237">
        <f t="shared" ca="1" si="34"/>
        <v>4969397.4205910349</v>
      </c>
      <c r="L642" s="236"/>
      <c r="M642" s="237">
        <f>'MATRIZ COMPLETO PROPOSTA'!BD642+
 'MATRIZ COMPLETO PROPOSTA'!BA642+
 'MATRIZ COMPLETO PROPOSTA'!AX642+
 'MATRIZ COMPLETO PROPOSTA'!AS642+
 'MATRIZ COMPLETO PROPOSTA'!AM642</f>
        <v>2775192.8636178453</v>
      </c>
      <c r="N642" s="236"/>
      <c r="O642" s="237"/>
      <c r="P642" s="236"/>
      <c r="Q642" s="243"/>
    </row>
    <row r="643" spans="2:17" x14ac:dyDescent="0.3">
      <c r="G643" s="200"/>
      <c r="H643" s="200"/>
      <c r="I643" s="200"/>
      <c r="J643" s="200"/>
      <c r="K643" s="200"/>
      <c r="M643" s="200"/>
      <c r="O643" s="200"/>
      <c r="Q643" s="240"/>
    </row>
    <row r="644" spans="2:17" x14ac:dyDescent="0.3">
      <c r="B644" s="231" t="s">
        <v>705</v>
      </c>
      <c r="C644" s="231" t="s">
        <v>736</v>
      </c>
      <c r="D644" s="232" t="s">
        <v>154</v>
      </c>
      <c r="E644" s="232"/>
      <c r="F644" s="232"/>
      <c r="G644" s="238">
        <f ca="1">SUM(G645:G660)</f>
        <v>37603208.806400277</v>
      </c>
      <c r="H644" s="238">
        <f>'MATRIZ COMPLETO PROPOSTA'!Y644</f>
        <v>286440.76083727303</v>
      </c>
      <c r="I644" s="238">
        <f>'MATRIZ COMPLETO PROPOSTA'!AA644</f>
        <v>960918.95444010536</v>
      </c>
      <c r="J644" s="238">
        <f>'MATRIZ COMPLETO PROPOSTA'!AC644</f>
        <v>206904.91714441639</v>
      </c>
      <c r="K644" s="238">
        <f ca="1">SUM(G644:J644)</f>
        <v>39057473.438822068</v>
      </c>
      <c r="L644" s="232"/>
      <c r="M644" s="238">
        <f>SUM(M645:M660)</f>
        <v>7879653.2279169448</v>
      </c>
      <c r="N644" s="232"/>
      <c r="O644" s="238">
        <f ca="1">K644*'DADOS BASE'!$I$22</f>
        <v>58586.210158233102</v>
      </c>
      <c r="P644" s="232"/>
      <c r="Q644" s="241">
        <f ca="1">SUM(H644:J644)/K644</f>
        <v>3.7233965855464048E-2</v>
      </c>
    </row>
    <row r="645" spans="2:17" x14ac:dyDescent="0.3">
      <c r="B645" s="233" t="s">
        <v>705</v>
      </c>
      <c r="C645" s="234" t="s">
        <v>156</v>
      </c>
      <c r="D645" s="234" t="s">
        <v>157</v>
      </c>
      <c r="E645" s="234"/>
      <c r="F645" s="234"/>
      <c r="G645" s="239">
        <f>('MATRIZ COMPLETO PROPOSTA'!L644+
  'MATRIZ COMPLETO PROPOSTA'!P644*0.25+
  'MATRIZ COMPLETO PROPOSTA'!S644*0.8)
 /
 ('MATRIZ COMPLETO PROPOSTA'!L11+
  'MATRIZ COMPLETO PROPOSTA'!P11*0.25+
  'MATRIZ COMPLETO PROPOSTA'!S11*0.8)
 *
 'DADOS BASE'!$J$93</f>
        <v>4178134.3118222537</v>
      </c>
      <c r="H645" s="239"/>
      <c r="I645" s="239"/>
      <c r="J645" s="239"/>
      <c r="K645" s="239">
        <f t="shared" ref="K645:K660" si="35">J645+I645+H645+G645</f>
        <v>4178134.3118222537</v>
      </c>
      <c r="L645" s="234"/>
      <c r="M645" s="239">
        <f>'MATRIZ COMPLETO PROPOSTA'!BD645+
 'MATRIZ COMPLETO PROPOSTA'!BA645+
 'MATRIZ COMPLETO PROPOSTA'!AX645+
 'MATRIZ COMPLETO PROPOSTA'!AS645+
 'MATRIZ COMPLETO PROPOSTA'!AM645</f>
        <v>0</v>
      </c>
      <c r="N645" s="234"/>
      <c r="O645" s="239"/>
      <c r="P645" s="234"/>
      <c r="Q645" s="242"/>
    </row>
    <row r="646" spans="2:17" x14ac:dyDescent="0.3">
      <c r="B646" s="235" t="s">
        <v>705</v>
      </c>
      <c r="C646" s="235" t="s">
        <v>737</v>
      </c>
      <c r="D646" s="235" t="s">
        <v>98</v>
      </c>
      <c r="E646" s="236"/>
      <c r="F646" s="236"/>
      <c r="G646" s="237">
        <f ca="1">'MATRIZ COMPLETO PROPOSTA'!H646</f>
        <v>511122.54385193746</v>
      </c>
      <c r="H646" s="237"/>
      <c r="I646" s="237"/>
      <c r="J646" s="237"/>
      <c r="K646" s="237">
        <f t="shared" ca="1" si="35"/>
        <v>511122.54385193746</v>
      </c>
      <c r="L646" s="236"/>
      <c r="M646" s="237">
        <f>'MATRIZ COMPLETO PROPOSTA'!BD646+
 'MATRIZ COMPLETO PROPOSTA'!BA646+
 'MATRIZ COMPLETO PROPOSTA'!AX646+
 'MATRIZ COMPLETO PROPOSTA'!AS646+
 'MATRIZ COMPLETO PROPOSTA'!AM646</f>
        <v>38130.184934247583</v>
      </c>
      <c r="N646" s="236"/>
      <c r="O646" s="237"/>
      <c r="P646" s="236"/>
      <c r="Q646" s="243"/>
    </row>
    <row r="647" spans="2:17" x14ac:dyDescent="0.3">
      <c r="B647" s="230" t="s">
        <v>705</v>
      </c>
      <c r="C647" s="230" t="s">
        <v>738</v>
      </c>
      <c r="D647" s="230" t="s">
        <v>98</v>
      </c>
      <c r="G647" s="200">
        <f ca="1">'MATRIZ COMPLETO PROPOSTA'!H647</f>
        <v>2441590.7080919347</v>
      </c>
      <c r="H647" s="200"/>
      <c r="I647" s="200"/>
      <c r="J647" s="200"/>
      <c r="K647" s="200">
        <f t="shared" ca="1" si="35"/>
        <v>2441590.7080919347</v>
      </c>
      <c r="M647" s="200">
        <f>'MATRIZ COMPLETO PROPOSTA'!BD647+
 'MATRIZ COMPLETO PROPOSTA'!BA647+
 'MATRIZ COMPLETO PROPOSTA'!AX647+
 'MATRIZ COMPLETO PROPOSTA'!AS647+
 'MATRIZ COMPLETO PROPOSTA'!AM647</f>
        <v>148182.36392345268</v>
      </c>
      <c r="O647" s="200"/>
      <c r="Q647" s="240"/>
    </row>
    <row r="648" spans="2:17" x14ac:dyDescent="0.3">
      <c r="B648" s="235" t="s">
        <v>705</v>
      </c>
      <c r="C648" s="235" t="s">
        <v>739</v>
      </c>
      <c r="D648" s="235" t="s">
        <v>92</v>
      </c>
      <c r="E648" s="236"/>
      <c r="F648" s="236"/>
      <c r="G648" s="237">
        <f ca="1">'MATRIZ COMPLETO PROPOSTA'!H648</f>
        <v>1787865.1867516944</v>
      </c>
      <c r="H648" s="237"/>
      <c r="I648" s="237"/>
      <c r="J648" s="237"/>
      <c r="K648" s="237">
        <f t="shared" ca="1" si="35"/>
        <v>1787865.1867516944</v>
      </c>
      <c r="L648" s="236"/>
      <c r="M648" s="237">
        <f>'MATRIZ COMPLETO PROPOSTA'!BD648+
 'MATRIZ COMPLETO PROPOSTA'!BA648+
 'MATRIZ COMPLETO PROPOSTA'!AX648+
 'MATRIZ COMPLETO PROPOSTA'!AS648+
 'MATRIZ COMPLETO PROPOSTA'!AM648</f>
        <v>521699.58988278214</v>
      </c>
      <c r="N648" s="236"/>
      <c r="O648" s="237"/>
      <c r="P648" s="236"/>
      <c r="Q648" s="243"/>
    </row>
    <row r="649" spans="2:17" x14ac:dyDescent="0.3">
      <c r="B649" s="230" t="s">
        <v>705</v>
      </c>
      <c r="C649" s="230" t="s">
        <v>740</v>
      </c>
      <c r="D649" s="230" t="s">
        <v>94</v>
      </c>
      <c r="G649" s="200">
        <f ca="1">'MATRIZ COMPLETO PROPOSTA'!H649</f>
        <v>1233465.3971948524</v>
      </c>
      <c r="H649" s="200"/>
      <c r="I649" s="200"/>
      <c r="J649" s="200"/>
      <c r="K649" s="200">
        <f t="shared" ca="1" si="35"/>
        <v>1233465.3971948524</v>
      </c>
      <c r="M649" s="200">
        <f>'MATRIZ COMPLETO PROPOSTA'!BD649+
 'MATRIZ COMPLETO PROPOSTA'!BA649+
 'MATRIZ COMPLETO PROPOSTA'!AX649+
 'MATRIZ COMPLETO PROPOSTA'!AS649+
 'MATRIZ COMPLETO PROPOSTA'!AM649</f>
        <v>408674.75871454843</v>
      </c>
      <c r="O649" s="200"/>
      <c r="Q649" s="240"/>
    </row>
    <row r="650" spans="2:17" x14ac:dyDescent="0.3">
      <c r="B650" s="235" t="s">
        <v>705</v>
      </c>
      <c r="C650" s="235" t="s">
        <v>741</v>
      </c>
      <c r="D650" s="235" t="s">
        <v>94</v>
      </c>
      <c r="E650" s="236"/>
      <c r="F650" s="236"/>
      <c r="G650" s="237">
        <f ca="1">'MATRIZ COMPLETO PROPOSTA'!H650</f>
        <v>1878750.7082090424</v>
      </c>
      <c r="H650" s="237"/>
      <c r="I650" s="237"/>
      <c r="J650" s="237"/>
      <c r="K650" s="237">
        <f t="shared" ca="1" si="35"/>
        <v>1878750.7082090424</v>
      </c>
      <c r="L650" s="236"/>
      <c r="M650" s="237">
        <f>'MATRIZ COMPLETO PROPOSTA'!BD650+
 'MATRIZ COMPLETO PROPOSTA'!BA650+
 'MATRIZ COMPLETO PROPOSTA'!AX650+
 'MATRIZ COMPLETO PROPOSTA'!AS650+
 'MATRIZ COMPLETO PROPOSTA'!AM650</f>
        <v>456167.38163421251</v>
      </c>
      <c r="N650" s="236"/>
      <c r="O650" s="237"/>
      <c r="P650" s="236"/>
      <c r="Q650" s="243"/>
    </row>
    <row r="651" spans="2:17" x14ac:dyDescent="0.3">
      <c r="B651" s="230" t="s">
        <v>705</v>
      </c>
      <c r="C651" s="230" t="s">
        <v>742</v>
      </c>
      <c r="D651" s="230" t="s">
        <v>94</v>
      </c>
      <c r="G651" s="200">
        <f ca="1">'MATRIZ COMPLETO PROPOSTA'!H651</f>
        <v>570752.11335900752</v>
      </c>
      <c r="H651" s="200"/>
      <c r="I651" s="200"/>
      <c r="J651" s="200"/>
      <c r="K651" s="200">
        <f t="shared" ca="1" si="35"/>
        <v>570752.11335900752</v>
      </c>
      <c r="M651" s="200">
        <f>'MATRIZ COMPLETO PROPOSTA'!BD651+
 'MATRIZ COMPLETO PROPOSTA'!BA651+
 'MATRIZ COMPLETO PROPOSTA'!AX651+
 'MATRIZ COMPLETO PROPOSTA'!AS651+
 'MATRIZ COMPLETO PROPOSTA'!AM651</f>
        <v>54813.033922780698</v>
      </c>
      <c r="O651" s="200"/>
      <c r="Q651" s="240"/>
    </row>
    <row r="652" spans="2:17" x14ac:dyDescent="0.3">
      <c r="B652" s="235" t="s">
        <v>705</v>
      </c>
      <c r="C652" s="235" t="s">
        <v>743</v>
      </c>
      <c r="D652" s="235" t="s">
        <v>94</v>
      </c>
      <c r="E652" s="236"/>
      <c r="F652" s="236"/>
      <c r="G652" s="237">
        <f ca="1">'MATRIZ COMPLETO PROPOSTA'!H652</f>
        <v>747477.02063782024</v>
      </c>
      <c r="H652" s="237"/>
      <c r="I652" s="237"/>
      <c r="J652" s="237"/>
      <c r="K652" s="237">
        <f t="shared" ca="1" si="35"/>
        <v>747477.02063782024</v>
      </c>
      <c r="L652" s="236"/>
      <c r="M652" s="237">
        <f>'MATRIZ COMPLETO PROPOSTA'!BD652+
 'MATRIZ COMPLETO PROPOSTA'!BA652+
 'MATRIZ COMPLETO PROPOSTA'!AX652+
 'MATRIZ COMPLETO PROPOSTA'!AS652+
 'MATRIZ COMPLETO PROPOSTA'!AM652</f>
        <v>61845.166081146745</v>
      </c>
      <c r="N652" s="236"/>
      <c r="O652" s="237"/>
      <c r="P652" s="236"/>
      <c r="Q652" s="243"/>
    </row>
    <row r="653" spans="2:17" x14ac:dyDescent="0.3">
      <c r="B653" s="230" t="s">
        <v>705</v>
      </c>
      <c r="C653" s="230" t="s">
        <v>744</v>
      </c>
      <c r="D653" s="230" t="s">
        <v>94</v>
      </c>
      <c r="G653" s="200">
        <f ca="1">'MATRIZ COMPLETO PROPOSTA'!H653</f>
        <v>2030417.8398584952</v>
      </c>
      <c r="H653" s="200"/>
      <c r="I653" s="200"/>
      <c r="J653" s="200"/>
      <c r="K653" s="200">
        <f t="shared" ca="1" si="35"/>
        <v>2030417.8398584952</v>
      </c>
      <c r="M653" s="200">
        <f>'MATRIZ COMPLETO PROPOSTA'!BD653+
 'MATRIZ COMPLETO PROPOSTA'!BA653+
 'MATRIZ COMPLETO PROPOSTA'!AX653+
 'MATRIZ COMPLETO PROPOSTA'!AS653+
 'MATRIZ COMPLETO PROPOSTA'!AM653</f>
        <v>566991.29273199104</v>
      </c>
      <c r="O653" s="200"/>
      <c r="Q653" s="240"/>
    </row>
    <row r="654" spans="2:17" x14ac:dyDescent="0.3">
      <c r="B654" s="235" t="s">
        <v>705</v>
      </c>
      <c r="C654" s="235" t="s">
        <v>745</v>
      </c>
      <c r="D654" s="235" t="s">
        <v>94</v>
      </c>
      <c r="E654" s="236"/>
      <c r="F654" s="236"/>
      <c r="G654" s="237">
        <f ca="1">'MATRIZ COMPLETO PROPOSTA'!H654</f>
        <v>6863553.0183630278</v>
      </c>
      <c r="H654" s="237"/>
      <c r="I654" s="237"/>
      <c r="J654" s="237"/>
      <c r="K654" s="237">
        <f t="shared" ca="1" si="35"/>
        <v>6863553.0183630278</v>
      </c>
      <c r="L654" s="236"/>
      <c r="M654" s="237">
        <f>'MATRIZ COMPLETO PROPOSTA'!BD654+
 'MATRIZ COMPLETO PROPOSTA'!BA654+
 'MATRIZ COMPLETO PROPOSTA'!AX654+
 'MATRIZ COMPLETO PROPOSTA'!AS654+
 'MATRIZ COMPLETO PROPOSTA'!AM654</f>
        <v>2278917.5088953748</v>
      </c>
      <c r="N654" s="236"/>
      <c r="O654" s="237"/>
      <c r="P654" s="236"/>
      <c r="Q654" s="243"/>
    </row>
    <row r="655" spans="2:17" x14ac:dyDescent="0.3">
      <c r="B655" s="230" t="s">
        <v>705</v>
      </c>
      <c r="C655" s="230" t="s">
        <v>746</v>
      </c>
      <c r="D655" s="230" t="s">
        <v>92</v>
      </c>
      <c r="G655" s="200">
        <f ca="1">'MATRIZ COMPLETO PROPOSTA'!H655</f>
        <v>3135245.1119425087</v>
      </c>
      <c r="H655" s="200"/>
      <c r="I655" s="200"/>
      <c r="J655" s="200"/>
      <c r="K655" s="200">
        <f t="shared" ca="1" si="35"/>
        <v>3135245.1119425087</v>
      </c>
      <c r="M655" s="200">
        <f>'MATRIZ COMPLETO PROPOSTA'!BD655+
 'MATRIZ COMPLETO PROPOSTA'!BA655+
 'MATRIZ COMPLETO PROPOSTA'!AX655+
 'MATRIZ COMPLETO PROPOSTA'!AS655+
 'MATRIZ COMPLETO PROPOSTA'!AM655</f>
        <v>1230334.6987000024</v>
      </c>
      <c r="O655" s="200"/>
      <c r="Q655" s="240"/>
    </row>
    <row r="656" spans="2:17" x14ac:dyDescent="0.3">
      <c r="B656" s="235" t="s">
        <v>705</v>
      </c>
      <c r="C656" s="235" t="s">
        <v>747</v>
      </c>
      <c r="D656" s="235" t="s">
        <v>94</v>
      </c>
      <c r="E656" s="236"/>
      <c r="F656" s="236"/>
      <c r="G656" s="237">
        <f ca="1">'MATRIZ COMPLETO PROPOSTA'!H656</f>
        <v>2104929.9468696918</v>
      </c>
      <c r="H656" s="237"/>
      <c r="I656" s="237"/>
      <c r="J656" s="237"/>
      <c r="K656" s="237">
        <f t="shared" ca="1" si="35"/>
        <v>2104929.9468696918</v>
      </c>
      <c r="L656" s="236"/>
      <c r="M656" s="237">
        <f>'MATRIZ COMPLETO PROPOSTA'!BD656+
 'MATRIZ COMPLETO PROPOSTA'!BA656+
 'MATRIZ COMPLETO PROPOSTA'!AX656+
 'MATRIZ COMPLETO PROPOSTA'!AS656+
 'MATRIZ COMPLETO PROPOSTA'!AM656</f>
        <v>274157.95574554976</v>
      </c>
      <c r="N656" s="236"/>
      <c r="O656" s="237"/>
      <c r="P656" s="236"/>
      <c r="Q656" s="243"/>
    </row>
    <row r="657" spans="2:17" x14ac:dyDescent="0.3">
      <c r="B657" s="230" t="s">
        <v>705</v>
      </c>
      <c r="C657" s="230" t="s">
        <v>748</v>
      </c>
      <c r="D657" s="230" t="s">
        <v>94</v>
      </c>
      <c r="G657" s="200">
        <f ca="1">'MATRIZ COMPLETO PROPOSTA'!H657</f>
        <v>914425.94039516163</v>
      </c>
      <c r="H657" s="200"/>
      <c r="I657" s="200"/>
      <c r="J657" s="200"/>
      <c r="K657" s="200">
        <f t="shared" ca="1" si="35"/>
        <v>914425.94039516163</v>
      </c>
      <c r="M657" s="200">
        <f>'MATRIZ COMPLETO PROPOSTA'!BD657+
 'MATRIZ COMPLETO PROPOSTA'!BA657+
 'MATRIZ COMPLETO PROPOSTA'!AX657+
 'MATRIZ COMPLETO PROPOSTA'!AS657+
 'MATRIZ COMPLETO PROPOSTA'!AM657</f>
        <v>72357.730081690446</v>
      </c>
      <c r="O657" s="200"/>
      <c r="Q657" s="240"/>
    </row>
    <row r="658" spans="2:17" x14ac:dyDescent="0.3">
      <c r="B658" s="235" t="s">
        <v>705</v>
      </c>
      <c r="C658" s="235" t="s">
        <v>749</v>
      </c>
      <c r="D658" s="235" t="s">
        <v>94</v>
      </c>
      <c r="E658" s="236"/>
      <c r="F658" s="236"/>
      <c r="G658" s="237">
        <f ca="1">'MATRIZ COMPLETO PROPOSTA'!H658</f>
        <v>3423776.3117510644</v>
      </c>
      <c r="H658" s="237"/>
      <c r="I658" s="237"/>
      <c r="J658" s="237"/>
      <c r="K658" s="237">
        <f t="shared" ca="1" si="35"/>
        <v>3423776.3117510644</v>
      </c>
      <c r="L658" s="236"/>
      <c r="M658" s="237">
        <f>'MATRIZ COMPLETO PROPOSTA'!BD658+
 'MATRIZ COMPLETO PROPOSTA'!BA658+
 'MATRIZ COMPLETO PROPOSTA'!AX658+
 'MATRIZ COMPLETO PROPOSTA'!AS658+
 'MATRIZ COMPLETO PROPOSTA'!AM658</f>
        <v>581860.01511927776</v>
      </c>
      <c r="N658" s="236"/>
      <c r="O658" s="237"/>
      <c r="P658" s="236"/>
      <c r="Q658" s="243"/>
    </row>
    <row r="659" spans="2:17" x14ac:dyDescent="0.3">
      <c r="B659" s="230" t="s">
        <v>705</v>
      </c>
      <c r="C659" s="230" t="s">
        <v>750</v>
      </c>
      <c r="D659" s="230" t="s">
        <v>94</v>
      </c>
      <c r="G659" s="200">
        <f ca="1">'MATRIZ COMPLETO PROPOSTA'!H659</f>
        <v>1084923.3665121549</v>
      </c>
      <c r="H659" s="200"/>
      <c r="I659" s="200"/>
      <c r="J659" s="200"/>
      <c r="K659" s="200">
        <f t="shared" ca="1" si="35"/>
        <v>1084923.3665121549</v>
      </c>
      <c r="M659" s="200">
        <f>'MATRIZ COMPLETO PROPOSTA'!BD659+
 'MATRIZ COMPLETO PROPOSTA'!BA659+
 'MATRIZ COMPLETO PROPOSTA'!AX659+
 'MATRIZ COMPLETO PROPOSTA'!AS659+
 'MATRIZ COMPLETO PROPOSTA'!AM659</f>
        <v>329929.34621177631</v>
      </c>
      <c r="O659" s="200"/>
      <c r="Q659" s="240"/>
    </row>
    <row r="660" spans="2:17" x14ac:dyDescent="0.3">
      <c r="B660" s="235" t="s">
        <v>705</v>
      </c>
      <c r="C660" s="235" t="s">
        <v>751</v>
      </c>
      <c r="D660" s="235" t="s">
        <v>209</v>
      </c>
      <c r="E660" s="236"/>
      <c r="F660" s="236"/>
      <c r="G660" s="237">
        <f ca="1">'MATRIZ COMPLETO PROPOSTA'!H660</f>
        <v>4696779.2807896361</v>
      </c>
      <c r="H660" s="237"/>
      <c r="I660" s="237"/>
      <c r="J660" s="237"/>
      <c r="K660" s="237">
        <f t="shared" ca="1" si="35"/>
        <v>4696779.2807896361</v>
      </c>
      <c r="L660" s="236"/>
      <c r="M660" s="237">
        <f>'MATRIZ COMPLETO PROPOSTA'!BD660+
 'MATRIZ COMPLETO PROPOSTA'!BA660+
 'MATRIZ COMPLETO PROPOSTA'!AX660+
 'MATRIZ COMPLETO PROPOSTA'!AS660+
 'MATRIZ COMPLETO PROPOSTA'!AM660</f>
        <v>855592.20133811189</v>
      </c>
      <c r="N660" s="236"/>
      <c r="O660" s="237"/>
      <c r="P660" s="236"/>
      <c r="Q660" s="243"/>
    </row>
    <row r="661" spans="2:17" x14ac:dyDescent="0.3">
      <c r="G661" s="200"/>
      <c r="H661" s="200"/>
      <c r="I661" s="200"/>
      <c r="J661" s="200"/>
      <c r="K661" s="200"/>
      <c r="M661" s="200"/>
      <c r="O661" s="200"/>
      <c r="Q661" s="240"/>
    </row>
    <row r="662" spans="2:17" x14ac:dyDescent="0.3">
      <c r="B662" s="231" t="s">
        <v>752</v>
      </c>
      <c r="C662" s="231" t="s">
        <v>753</v>
      </c>
      <c r="D662" s="232" t="s">
        <v>154</v>
      </c>
      <c r="E662" s="232"/>
      <c r="F662" s="232"/>
      <c r="G662" s="238">
        <f ca="1">SUM(G663:G678)</f>
        <v>42161813.996076301</v>
      </c>
      <c r="H662" s="238">
        <f>'MATRIZ COMPLETO PROPOSTA'!Y662</f>
        <v>2314441.3475651662</v>
      </c>
      <c r="I662" s="238">
        <f>'MATRIZ COMPLETO PROPOSTA'!AA662</f>
        <v>1013748.0797213592</v>
      </c>
      <c r="J662" s="238">
        <f>'MATRIZ COMPLETO PROPOSTA'!AC662</f>
        <v>187053.84136387912</v>
      </c>
      <c r="K662" s="238">
        <f ca="1">SUM(G662:J662)</f>
        <v>45677057.264726706</v>
      </c>
      <c r="L662" s="232"/>
      <c r="M662" s="238">
        <f>SUM(M663:M678)</f>
        <v>13120195.255876297</v>
      </c>
      <c r="N662" s="232"/>
      <c r="O662" s="238">
        <f ca="1">K662*'DADOS BASE'!$I$22</f>
        <v>68515.585897090059</v>
      </c>
      <c r="P662" s="232"/>
      <c r="Q662" s="241">
        <f ca="1">SUM(H662:J662)/K662</f>
        <v>7.695861947229661E-2</v>
      </c>
    </row>
    <row r="663" spans="2:17" x14ac:dyDescent="0.3">
      <c r="B663" s="233" t="s">
        <v>752</v>
      </c>
      <c r="C663" s="234" t="s">
        <v>156</v>
      </c>
      <c r="D663" s="234" t="s">
        <v>157</v>
      </c>
      <c r="E663" s="234"/>
      <c r="F663" s="234"/>
      <c r="G663" s="239">
        <f>('MATRIZ COMPLETO PROPOSTA'!L662+
  'MATRIZ COMPLETO PROPOSTA'!P662*0.25+
  'MATRIZ COMPLETO PROPOSTA'!S662*0.8)
 /
 ('MATRIZ COMPLETO PROPOSTA'!L11+
  'MATRIZ COMPLETO PROPOSTA'!P11*0.25+
  'MATRIZ COMPLETO PROPOSTA'!S11*0.8)
 *
 'DADOS BASE'!$J$93</f>
        <v>4684645.999564033</v>
      </c>
      <c r="H663" s="239"/>
      <c r="I663" s="239"/>
      <c r="J663" s="239"/>
      <c r="K663" s="239">
        <f t="shared" ref="K663:K678" si="36">J663+I663+H663+G663</f>
        <v>4684645.999564033</v>
      </c>
      <c r="L663" s="234"/>
      <c r="M663" s="239">
        <f>'MATRIZ COMPLETO PROPOSTA'!BD663+
 'MATRIZ COMPLETO PROPOSTA'!BA663+
 'MATRIZ COMPLETO PROPOSTA'!AX663+
 'MATRIZ COMPLETO PROPOSTA'!AS663+
 'MATRIZ COMPLETO PROPOSTA'!AM663</f>
        <v>0</v>
      </c>
      <c r="N663" s="234"/>
      <c r="O663" s="239"/>
      <c r="P663" s="234"/>
      <c r="Q663" s="242"/>
    </row>
    <row r="664" spans="2:17" x14ac:dyDescent="0.3">
      <c r="B664" s="235" t="s">
        <v>752</v>
      </c>
      <c r="C664" s="235" t="s">
        <v>754</v>
      </c>
      <c r="D664" s="235" t="s">
        <v>92</v>
      </c>
      <c r="E664" s="236"/>
      <c r="F664" s="236"/>
      <c r="G664" s="237">
        <f ca="1">'MATRIZ COMPLETO PROPOSTA'!H664</f>
        <v>5045460.9886035938</v>
      </c>
      <c r="H664" s="237"/>
      <c r="I664" s="237"/>
      <c r="J664" s="237"/>
      <c r="K664" s="237">
        <f t="shared" ca="1" si="36"/>
        <v>5045460.9886035938</v>
      </c>
      <c r="L664" s="236"/>
      <c r="M664" s="237">
        <f>'MATRIZ COMPLETO PROPOSTA'!BD664+
 'MATRIZ COMPLETO PROPOSTA'!BA664+
 'MATRIZ COMPLETO PROPOSTA'!AX664+
 'MATRIZ COMPLETO PROPOSTA'!AS664+
 'MATRIZ COMPLETO PROPOSTA'!AM664</f>
        <v>1188206.5059757424</v>
      </c>
      <c r="N664" s="236"/>
      <c r="O664" s="237"/>
      <c r="P664" s="236"/>
      <c r="Q664" s="243"/>
    </row>
    <row r="665" spans="2:17" x14ac:dyDescent="0.3">
      <c r="B665" s="230" t="s">
        <v>752</v>
      </c>
      <c r="C665" s="230" t="s">
        <v>755</v>
      </c>
      <c r="D665" s="230" t="s">
        <v>96</v>
      </c>
      <c r="G665" s="200">
        <f ca="1">'MATRIZ COMPLETO PROPOSTA'!H665</f>
        <v>525867.6709803415</v>
      </c>
      <c r="H665" s="200"/>
      <c r="I665" s="200"/>
      <c r="J665" s="200"/>
      <c r="K665" s="200">
        <f t="shared" ca="1" si="36"/>
        <v>525867.6709803415</v>
      </c>
      <c r="M665" s="200">
        <f>'MATRIZ COMPLETO PROPOSTA'!BD665+
 'MATRIZ COMPLETO PROPOSTA'!BA665+
 'MATRIZ COMPLETO PROPOSTA'!AX665+
 'MATRIZ COMPLETO PROPOSTA'!AS665+
 'MATRIZ COMPLETO PROPOSTA'!AM665</f>
        <v>331503.41545103583</v>
      </c>
      <c r="O665" s="200"/>
      <c r="Q665" s="240"/>
    </row>
    <row r="666" spans="2:17" x14ac:dyDescent="0.3">
      <c r="B666" s="235" t="s">
        <v>752</v>
      </c>
      <c r="C666" s="235" t="s">
        <v>756</v>
      </c>
      <c r="D666" s="235" t="s">
        <v>98</v>
      </c>
      <c r="E666" s="236"/>
      <c r="F666" s="236"/>
      <c r="G666" s="237">
        <f ca="1">'MATRIZ COMPLETO PROPOSTA'!H666</f>
        <v>1256885.4435414148</v>
      </c>
      <c r="H666" s="237"/>
      <c r="I666" s="237"/>
      <c r="J666" s="237"/>
      <c r="K666" s="237">
        <f t="shared" ca="1" si="36"/>
        <v>1256885.4435414148</v>
      </c>
      <c r="L666" s="236"/>
      <c r="M666" s="237">
        <f>'MATRIZ COMPLETO PROPOSTA'!BD666+
 'MATRIZ COMPLETO PROPOSTA'!BA666+
 'MATRIZ COMPLETO PROPOSTA'!AX666+
 'MATRIZ COMPLETO PROPOSTA'!AS666+
 'MATRIZ COMPLETO PROPOSTA'!AM666</f>
        <v>522999.78876424907</v>
      </c>
      <c r="N666" s="236"/>
      <c r="O666" s="237"/>
      <c r="P666" s="236"/>
      <c r="Q666" s="243"/>
    </row>
    <row r="667" spans="2:17" x14ac:dyDescent="0.3">
      <c r="B667" s="230" t="s">
        <v>752</v>
      </c>
      <c r="C667" s="230" t="s">
        <v>757</v>
      </c>
      <c r="D667" s="230" t="s">
        <v>94</v>
      </c>
      <c r="G667" s="200">
        <f ca="1">'MATRIZ COMPLETO PROPOSTA'!H667</f>
        <v>2059397.9444084449</v>
      </c>
      <c r="H667" s="200"/>
      <c r="I667" s="200"/>
      <c r="J667" s="200"/>
      <c r="K667" s="200">
        <f t="shared" ca="1" si="36"/>
        <v>2059397.9444084449</v>
      </c>
      <c r="M667" s="200">
        <f>'MATRIZ COMPLETO PROPOSTA'!BD667+
 'MATRIZ COMPLETO PROPOSTA'!BA667+
 'MATRIZ COMPLETO PROPOSTA'!AX667+
 'MATRIZ COMPLETO PROPOSTA'!AS667+
 'MATRIZ COMPLETO PROPOSTA'!AM667</f>
        <v>548198.0242325177</v>
      </c>
      <c r="O667" s="200"/>
      <c r="Q667" s="240"/>
    </row>
    <row r="668" spans="2:17" x14ac:dyDescent="0.3">
      <c r="B668" s="235" t="s">
        <v>752</v>
      </c>
      <c r="C668" s="235" t="s">
        <v>758</v>
      </c>
      <c r="D668" s="235" t="s">
        <v>94</v>
      </c>
      <c r="E668" s="236"/>
      <c r="F668" s="236"/>
      <c r="G668" s="237">
        <f ca="1">'MATRIZ COMPLETO PROPOSTA'!H668</f>
        <v>1754169.1201698591</v>
      </c>
      <c r="H668" s="237"/>
      <c r="I668" s="237"/>
      <c r="J668" s="237"/>
      <c r="K668" s="237">
        <f t="shared" ca="1" si="36"/>
        <v>1754169.1201698591</v>
      </c>
      <c r="L668" s="236"/>
      <c r="M668" s="237">
        <f>'MATRIZ COMPLETO PROPOSTA'!BD668+
 'MATRIZ COMPLETO PROPOSTA'!BA668+
 'MATRIZ COMPLETO PROPOSTA'!AX668+
 'MATRIZ COMPLETO PROPOSTA'!AS668+
 'MATRIZ COMPLETO PROPOSTA'!AM668</f>
        <v>497425.87112250808</v>
      </c>
      <c r="N668" s="236"/>
      <c r="O668" s="237"/>
      <c r="P668" s="236"/>
      <c r="Q668" s="243"/>
    </row>
    <row r="669" spans="2:17" x14ac:dyDescent="0.3">
      <c r="B669" s="230" t="s">
        <v>752</v>
      </c>
      <c r="C669" s="230" t="s">
        <v>759</v>
      </c>
      <c r="D669" s="230" t="s">
        <v>92</v>
      </c>
      <c r="G669" s="200">
        <f ca="1">'MATRIZ COMPLETO PROPOSTA'!H669</f>
        <v>4200848.9014239237</v>
      </c>
      <c r="H669" s="200"/>
      <c r="I669" s="200"/>
      <c r="J669" s="200"/>
      <c r="K669" s="200">
        <f t="shared" ca="1" si="36"/>
        <v>4200848.9014239237</v>
      </c>
      <c r="M669" s="200">
        <f>'MATRIZ COMPLETO PROPOSTA'!BD669+
 'MATRIZ COMPLETO PROPOSTA'!BA669+
 'MATRIZ COMPLETO PROPOSTA'!AX669+
 'MATRIZ COMPLETO PROPOSTA'!AS669+
 'MATRIZ COMPLETO PROPOSTA'!AM669</f>
        <v>914277.47828460252</v>
      </c>
      <c r="O669" s="200"/>
      <c r="Q669" s="240"/>
    </row>
    <row r="670" spans="2:17" x14ac:dyDescent="0.3">
      <c r="B670" s="235" t="s">
        <v>752</v>
      </c>
      <c r="C670" s="235" t="s">
        <v>760</v>
      </c>
      <c r="D670" s="235" t="s">
        <v>92</v>
      </c>
      <c r="E670" s="236"/>
      <c r="F670" s="236"/>
      <c r="G670" s="237">
        <f ca="1">'MATRIZ COMPLETO PROPOSTA'!H670</f>
        <v>4786964.3381013973</v>
      </c>
      <c r="H670" s="237"/>
      <c r="I670" s="237"/>
      <c r="J670" s="237"/>
      <c r="K670" s="237">
        <f t="shared" ca="1" si="36"/>
        <v>4786964.3381013973</v>
      </c>
      <c r="L670" s="236"/>
      <c r="M670" s="237">
        <f>'MATRIZ COMPLETO PROPOSTA'!BD670+
 'MATRIZ COMPLETO PROPOSTA'!BA670+
 'MATRIZ COMPLETO PROPOSTA'!AX670+
 'MATRIZ COMPLETO PROPOSTA'!AS670+
 'MATRIZ COMPLETO PROPOSTA'!AM670</f>
        <v>2112986.021072153</v>
      </c>
      <c r="N670" s="236"/>
      <c r="O670" s="237"/>
      <c r="P670" s="236"/>
      <c r="Q670" s="243"/>
    </row>
    <row r="671" spans="2:17" x14ac:dyDescent="0.3">
      <c r="B671" s="230" t="s">
        <v>752</v>
      </c>
      <c r="C671" s="230" t="s">
        <v>761</v>
      </c>
      <c r="D671" s="230" t="s">
        <v>94</v>
      </c>
      <c r="G671" s="200">
        <f ca="1">'MATRIZ COMPLETO PROPOSTA'!H671</f>
        <v>776195.01947990723</v>
      </c>
      <c r="H671" s="200"/>
      <c r="I671" s="200"/>
      <c r="J671" s="200"/>
      <c r="K671" s="200">
        <f t="shared" ca="1" si="36"/>
        <v>776195.01947990723</v>
      </c>
      <c r="M671" s="200">
        <f>'MATRIZ COMPLETO PROPOSTA'!BD671+
 'MATRIZ COMPLETO PROPOSTA'!BA671+
 'MATRIZ COMPLETO PROPOSTA'!AX671+
 'MATRIZ COMPLETO PROPOSTA'!AS671+
 'MATRIZ COMPLETO PROPOSTA'!AM671</f>
        <v>294233.78718254284</v>
      </c>
      <c r="O671" s="200"/>
      <c r="Q671" s="240"/>
    </row>
    <row r="672" spans="2:17" x14ac:dyDescent="0.3">
      <c r="B672" s="235" t="s">
        <v>752</v>
      </c>
      <c r="C672" s="235" t="s">
        <v>762</v>
      </c>
      <c r="D672" s="235" t="s">
        <v>94</v>
      </c>
      <c r="E672" s="236"/>
      <c r="F672" s="236"/>
      <c r="G672" s="237">
        <f ca="1">'MATRIZ COMPLETO PROPOSTA'!H672</f>
        <v>887953.70075397589</v>
      </c>
      <c r="H672" s="237"/>
      <c r="I672" s="237"/>
      <c r="J672" s="237"/>
      <c r="K672" s="237">
        <f t="shared" ca="1" si="36"/>
        <v>887953.70075397589</v>
      </c>
      <c r="L672" s="236"/>
      <c r="M672" s="237">
        <f>'MATRIZ COMPLETO PROPOSTA'!BD672+
 'MATRIZ COMPLETO PROPOSTA'!BA672+
 'MATRIZ COMPLETO PROPOSTA'!AX672+
 'MATRIZ COMPLETO PROPOSTA'!AS672+
 'MATRIZ COMPLETO PROPOSTA'!AM672</f>
        <v>322207.18820937414</v>
      </c>
      <c r="N672" s="236"/>
      <c r="O672" s="237"/>
      <c r="P672" s="236"/>
      <c r="Q672" s="243"/>
    </row>
    <row r="673" spans="2:17" x14ac:dyDescent="0.3">
      <c r="B673" s="230" t="s">
        <v>752</v>
      </c>
      <c r="C673" s="230" t="s">
        <v>763</v>
      </c>
      <c r="D673" s="230" t="s">
        <v>94</v>
      </c>
      <c r="G673" s="200">
        <f ca="1">'MATRIZ COMPLETO PROPOSTA'!H673</f>
        <v>1675609.7178499431</v>
      </c>
      <c r="H673" s="200"/>
      <c r="I673" s="200"/>
      <c r="J673" s="200"/>
      <c r="K673" s="200">
        <f t="shared" ca="1" si="36"/>
        <v>1675609.7178499431</v>
      </c>
      <c r="M673" s="200">
        <f>'MATRIZ COMPLETO PROPOSTA'!BD673+
 'MATRIZ COMPLETO PROPOSTA'!BA673+
 'MATRIZ COMPLETO PROPOSTA'!AX673+
 'MATRIZ COMPLETO PROPOSTA'!AS673+
 'MATRIZ COMPLETO PROPOSTA'!AM673</f>
        <v>375661.63715457998</v>
      </c>
      <c r="O673" s="200"/>
      <c r="Q673" s="240"/>
    </row>
    <row r="674" spans="2:17" x14ac:dyDescent="0.3">
      <c r="B674" s="235" t="s">
        <v>752</v>
      </c>
      <c r="C674" s="235" t="s">
        <v>764</v>
      </c>
      <c r="D674" s="235" t="s">
        <v>92</v>
      </c>
      <c r="E674" s="236"/>
      <c r="F674" s="236"/>
      <c r="G674" s="237">
        <f ca="1">'MATRIZ COMPLETO PROPOSTA'!H674</f>
        <v>4417349.4113741703</v>
      </c>
      <c r="H674" s="237"/>
      <c r="I674" s="237"/>
      <c r="J674" s="237"/>
      <c r="K674" s="237">
        <f t="shared" ca="1" si="36"/>
        <v>4417349.4113741703</v>
      </c>
      <c r="L674" s="236"/>
      <c r="M674" s="237">
        <f>'MATRIZ COMPLETO PROPOSTA'!BD674+
 'MATRIZ COMPLETO PROPOSTA'!BA674+
 'MATRIZ COMPLETO PROPOSTA'!AX674+
 'MATRIZ COMPLETO PROPOSTA'!AS674+
 'MATRIZ COMPLETO PROPOSTA'!AM674</f>
        <v>2363738.0122116986</v>
      </c>
      <c r="N674" s="236"/>
      <c r="O674" s="237"/>
      <c r="P674" s="236"/>
      <c r="Q674" s="243"/>
    </row>
    <row r="675" spans="2:17" x14ac:dyDescent="0.3">
      <c r="B675" s="230" t="s">
        <v>752</v>
      </c>
      <c r="C675" s="230" t="s">
        <v>765</v>
      </c>
      <c r="D675" s="230" t="s">
        <v>92</v>
      </c>
      <c r="G675" s="200">
        <f ca="1">'MATRIZ COMPLETO PROPOSTA'!H675</f>
        <v>3850016.714881008</v>
      </c>
      <c r="H675" s="200"/>
      <c r="I675" s="200"/>
      <c r="J675" s="200"/>
      <c r="K675" s="200">
        <f t="shared" ca="1" si="36"/>
        <v>3850016.714881008</v>
      </c>
      <c r="M675" s="200">
        <f>'MATRIZ COMPLETO PROPOSTA'!BD675+
 'MATRIZ COMPLETO PROPOSTA'!BA675+
 'MATRIZ COMPLETO PROPOSTA'!AX675+
 'MATRIZ COMPLETO PROPOSTA'!AS675+
 'MATRIZ COMPLETO PROPOSTA'!AM675</f>
        <v>2031895.5402036989</v>
      </c>
      <c r="O675" s="200"/>
      <c r="Q675" s="240"/>
    </row>
    <row r="676" spans="2:17" x14ac:dyDescent="0.3">
      <c r="B676" s="235" t="s">
        <v>752</v>
      </c>
      <c r="C676" s="235" t="s">
        <v>766</v>
      </c>
      <c r="D676" s="235" t="s">
        <v>94</v>
      </c>
      <c r="E676" s="236"/>
      <c r="F676" s="236"/>
      <c r="G676" s="237">
        <f ca="1">'MATRIZ COMPLETO PROPOSTA'!H676</f>
        <v>1626384.2737193725</v>
      </c>
      <c r="H676" s="237"/>
      <c r="I676" s="237"/>
      <c r="J676" s="237"/>
      <c r="K676" s="237">
        <f t="shared" ca="1" si="36"/>
        <v>1626384.2737193725</v>
      </c>
      <c r="L676" s="236"/>
      <c r="M676" s="237">
        <f>'MATRIZ COMPLETO PROPOSTA'!BD676+
 'MATRIZ COMPLETO PROPOSTA'!BA676+
 'MATRIZ COMPLETO PROPOSTA'!AX676+
 'MATRIZ COMPLETO PROPOSTA'!AS676+
 'MATRIZ COMPLETO PROPOSTA'!AM676</f>
        <v>443295.57238051004</v>
      </c>
      <c r="N676" s="236"/>
      <c r="O676" s="237"/>
      <c r="P676" s="236"/>
      <c r="Q676" s="243"/>
    </row>
    <row r="677" spans="2:17" x14ac:dyDescent="0.3">
      <c r="B677" s="230" t="s">
        <v>752</v>
      </c>
      <c r="C677" s="230" t="s">
        <v>767</v>
      </c>
      <c r="D677" s="230" t="s">
        <v>94</v>
      </c>
      <c r="G677" s="200">
        <f ca="1">'MATRIZ COMPLETO PROPOSTA'!H677</f>
        <v>1176867.0205821113</v>
      </c>
      <c r="H677" s="200"/>
      <c r="I677" s="200"/>
      <c r="J677" s="200"/>
      <c r="K677" s="200">
        <f t="shared" ca="1" si="36"/>
        <v>1176867.0205821113</v>
      </c>
      <c r="M677" s="200">
        <f>'MATRIZ COMPLETO PROPOSTA'!BD677+
 'MATRIZ COMPLETO PROPOSTA'!BA677+
 'MATRIZ COMPLETO PROPOSTA'!AX677+
 'MATRIZ COMPLETO PROPOSTA'!AS677+
 'MATRIZ COMPLETO PROPOSTA'!AM677</f>
        <v>367245.2606229962</v>
      </c>
      <c r="O677" s="200"/>
      <c r="Q677" s="240"/>
    </row>
    <row r="678" spans="2:17" x14ac:dyDescent="0.3">
      <c r="B678" s="235" t="s">
        <v>752</v>
      </c>
      <c r="C678" s="235" t="s">
        <v>768</v>
      </c>
      <c r="D678" s="235" t="s">
        <v>92</v>
      </c>
      <c r="E678" s="236"/>
      <c r="F678" s="236"/>
      <c r="G678" s="237">
        <f ca="1">'MATRIZ COMPLETO PROPOSTA'!H678</f>
        <v>3437197.7306428067</v>
      </c>
      <c r="H678" s="237"/>
      <c r="I678" s="237"/>
      <c r="J678" s="237"/>
      <c r="K678" s="237">
        <f t="shared" ca="1" si="36"/>
        <v>3437197.7306428067</v>
      </c>
      <c r="L678" s="236"/>
      <c r="M678" s="237">
        <f>'MATRIZ COMPLETO PROPOSTA'!BD678+
 'MATRIZ COMPLETO PROPOSTA'!BA678+
 'MATRIZ COMPLETO PROPOSTA'!AX678+
 'MATRIZ COMPLETO PROPOSTA'!AS678+
 'MATRIZ COMPLETO PROPOSTA'!AM678</f>
        <v>806321.15300808579</v>
      </c>
      <c r="N678" s="236"/>
      <c r="O678" s="237"/>
      <c r="P678" s="236"/>
      <c r="Q678" s="243"/>
    </row>
    <row r="679" spans="2:17" x14ac:dyDescent="0.3">
      <c r="G679" s="200"/>
      <c r="H679" s="200"/>
      <c r="I679" s="200"/>
      <c r="J679" s="200"/>
      <c r="K679" s="200"/>
      <c r="M679" s="200"/>
      <c r="O679" s="200"/>
      <c r="Q679" s="240"/>
    </row>
    <row r="680" spans="2:17" x14ac:dyDescent="0.3">
      <c r="B680" s="231" t="s">
        <v>752</v>
      </c>
      <c r="C680" s="231" t="s">
        <v>769</v>
      </c>
      <c r="D680" s="232" t="s">
        <v>154</v>
      </c>
      <c r="E680" s="232"/>
      <c r="F680" s="232"/>
      <c r="G680" s="238">
        <f ca="1">SUM(G681:G704)</f>
        <v>55084772.182777822</v>
      </c>
      <c r="H680" s="238">
        <f>'MATRIZ COMPLETO PROPOSTA'!Y680</f>
        <v>298662.23329966341</v>
      </c>
      <c r="I680" s="238">
        <f>'MATRIZ COMPLETO PROPOSTA'!AA680</f>
        <v>1582494.0681096334</v>
      </c>
      <c r="J680" s="238">
        <f>'MATRIZ COMPLETO PROPOSTA'!AC680</f>
        <v>1469203.4684134906</v>
      </c>
      <c r="K680" s="238">
        <f ca="1">SUM(G680:J680)</f>
        <v>58435131.952600606</v>
      </c>
      <c r="L680" s="232"/>
      <c r="M680" s="238">
        <f>SUM(M681:M704)</f>
        <v>14903635.254648114</v>
      </c>
      <c r="N680" s="232"/>
      <c r="O680" s="238">
        <f ca="1">K680*'DADOS BASE'!$I$22</f>
        <v>87652.697928900918</v>
      </c>
      <c r="P680" s="232"/>
      <c r="Q680" s="241">
        <f ca="1">SUM(H680:J680)/K680</f>
        <v>5.7334683055741478E-2</v>
      </c>
    </row>
    <row r="681" spans="2:17" x14ac:dyDescent="0.3">
      <c r="B681" s="233" t="s">
        <v>752</v>
      </c>
      <c r="C681" s="234" t="s">
        <v>156</v>
      </c>
      <c r="D681" s="234" t="s">
        <v>157</v>
      </c>
      <c r="E681" s="234"/>
      <c r="F681" s="234"/>
      <c r="G681" s="239">
        <f>('MATRIZ COMPLETO PROPOSTA'!L680+
  'MATRIZ COMPLETO PROPOSTA'!P680*0.25+
  'MATRIZ COMPLETO PROPOSTA'!S680*0.8)
 /
 ('MATRIZ COMPLETO PROPOSTA'!L11+
  'MATRIZ COMPLETO PROPOSTA'!P11*0.25+
  'MATRIZ COMPLETO PROPOSTA'!S11*0.8)
 *
 'DADOS BASE'!$J$93</f>
        <v>6120530.2425308693</v>
      </c>
      <c r="H681" s="239"/>
      <c r="I681" s="239"/>
      <c r="J681" s="239"/>
      <c r="K681" s="239">
        <f t="shared" ref="K681:K704" si="37">J681+I681+H681+G681</f>
        <v>6120530.2425308693</v>
      </c>
      <c r="L681" s="234"/>
      <c r="M681" s="239">
        <f>'MATRIZ COMPLETO PROPOSTA'!BD681+
 'MATRIZ COMPLETO PROPOSTA'!BA681+
 'MATRIZ COMPLETO PROPOSTA'!AX681+
 'MATRIZ COMPLETO PROPOSTA'!AS681+
 'MATRIZ COMPLETO PROPOSTA'!AM681</f>
        <v>0</v>
      </c>
      <c r="N681" s="234"/>
      <c r="O681" s="239"/>
      <c r="P681" s="234"/>
      <c r="Q681" s="242"/>
    </row>
    <row r="682" spans="2:17" x14ac:dyDescent="0.3">
      <c r="B682" s="235" t="s">
        <v>752</v>
      </c>
      <c r="C682" s="235" t="s">
        <v>770</v>
      </c>
      <c r="D682" s="235" t="s">
        <v>94</v>
      </c>
      <c r="E682" s="236"/>
      <c r="F682" s="236"/>
      <c r="G682" s="237">
        <f ca="1">'MATRIZ COMPLETO PROPOSTA'!H682</f>
        <v>2086649.0340074289</v>
      </c>
      <c r="H682" s="237"/>
      <c r="I682" s="237"/>
      <c r="J682" s="237"/>
      <c r="K682" s="237">
        <f t="shared" ca="1" si="37"/>
        <v>2086649.0340074289</v>
      </c>
      <c r="L682" s="236"/>
      <c r="M682" s="237">
        <f>'MATRIZ COMPLETO PROPOSTA'!BD682+
 'MATRIZ COMPLETO PROPOSTA'!BA682+
 'MATRIZ COMPLETO PROPOSTA'!AX682+
 'MATRIZ COMPLETO PROPOSTA'!AS682+
 'MATRIZ COMPLETO PROPOSTA'!AM682</f>
        <v>630439.9127171929</v>
      </c>
      <c r="N682" s="236"/>
      <c r="O682" s="237"/>
      <c r="P682" s="236"/>
      <c r="Q682" s="243"/>
    </row>
    <row r="683" spans="2:17" x14ac:dyDescent="0.3">
      <c r="B683" s="230" t="s">
        <v>752</v>
      </c>
      <c r="C683" s="230" t="s">
        <v>771</v>
      </c>
      <c r="D683" s="230" t="s">
        <v>98</v>
      </c>
      <c r="G683" s="200">
        <f ca="1">'MATRIZ COMPLETO PROPOSTA'!H683</f>
        <v>193195.67412239398</v>
      </c>
      <c r="H683" s="200"/>
      <c r="I683" s="200"/>
      <c r="J683" s="200"/>
      <c r="K683" s="200">
        <f t="shared" ca="1" si="37"/>
        <v>193195.67412239398</v>
      </c>
      <c r="M683" s="200">
        <f>'MATRIZ COMPLETO PROPOSTA'!BD683+
 'MATRIZ COMPLETO PROPOSTA'!BA683+
 'MATRIZ COMPLETO PROPOSTA'!AX683+
 'MATRIZ COMPLETO PROPOSTA'!AS683+
 'MATRIZ COMPLETO PROPOSTA'!AM683</f>
        <v>101458.06888379005</v>
      </c>
      <c r="O683" s="200"/>
      <c r="Q683" s="240"/>
    </row>
    <row r="684" spans="2:17" x14ac:dyDescent="0.3">
      <c r="B684" s="235" t="s">
        <v>752</v>
      </c>
      <c r="C684" s="235" t="s">
        <v>772</v>
      </c>
      <c r="D684" s="235" t="s">
        <v>94</v>
      </c>
      <c r="E684" s="236"/>
      <c r="F684" s="236"/>
      <c r="G684" s="237">
        <f ca="1">'MATRIZ COMPLETO PROPOSTA'!H684</f>
        <v>1351450.5814308678</v>
      </c>
      <c r="H684" s="237"/>
      <c r="I684" s="237"/>
      <c r="J684" s="237"/>
      <c r="K684" s="237">
        <f t="shared" ca="1" si="37"/>
        <v>1351450.5814308678</v>
      </c>
      <c r="L684" s="236"/>
      <c r="M684" s="237">
        <f>'MATRIZ COMPLETO PROPOSTA'!BD684+
 'MATRIZ COMPLETO PROPOSTA'!BA684+
 'MATRIZ COMPLETO PROPOSTA'!AX684+
 'MATRIZ COMPLETO PROPOSTA'!AS684+
 'MATRIZ COMPLETO PROPOSTA'!AM684</f>
        <v>518509.60346198129</v>
      </c>
      <c r="N684" s="236"/>
      <c r="O684" s="237"/>
      <c r="P684" s="236"/>
      <c r="Q684" s="243"/>
    </row>
    <row r="685" spans="2:17" x14ac:dyDescent="0.3">
      <c r="B685" s="230" t="s">
        <v>752</v>
      </c>
      <c r="C685" s="230" t="s">
        <v>773</v>
      </c>
      <c r="D685" s="230" t="s">
        <v>94</v>
      </c>
      <c r="G685" s="200">
        <f ca="1">'MATRIZ COMPLETO PROPOSTA'!H685</f>
        <v>1985339.5216581593</v>
      </c>
      <c r="H685" s="200"/>
      <c r="I685" s="200"/>
      <c r="J685" s="200"/>
      <c r="K685" s="200">
        <f t="shared" ca="1" si="37"/>
        <v>1985339.5216581593</v>
      </c>
      <c r="M685" s="200">
        <f>'MATRIZ COMPLETO PROPOSTA'!BD685+
 'MATRIZ COMPLETO PROPOSTA'!BA685+
 'MATRIZ COMPLETO PROPOSTA'!AX685+
 'MATRIZ COMPLETO PROPOSTA'!AS685+
 'MATRIZ COMPLETO PROPOSTA'!AM685</f>
        <v>547055.21648726042</v>
      </c>
      <c r="O685" s="200"/>
      <c r="Q685" s="240"/>
    </row>
    <row r="686" spans="2:17" x14ac:dyDescent="0.3">
      <c r="B686" s="235" t="s">
        <v>752</v>
      </c>
      <c r="C686" s="235" t="s">
        <v>774</v>
      </c>
      <c r="D686" s="235" t="s">
        <v>94</v>
      </c>
      <c r="E686" s="236"/>
      <c r="F686" s="236"/>
      <c r="G686" s="237">
        <f ca="1">'MATRIZ COMPLETO PROPOSTA'!H686</f>
        <v>1863760.6240765022</v>
      </c>
      <c r="H686" s="237"/>
      <c r="I686" s="237"/>
      <c r="J686" s="237"/>
      <c r="K686" s="237">
        <f t="shared" ca="1" si="37"/>
        <v>1863760.6240765022</v>
      </c>
      <c r="L686" s="236"/>
      <c r="M686" s="237">
        <f>'MATRIZ COMPLETO PROPOSTA'!BD686+
 'MATRIZ COMPLETO PROPOSTA'!BA686+
 'MATRIZ COMPLETO PROPOSTA'!AX686+
 'MATRIZ COMPLETO PROPOSTA'!AS686+
 'MATRIZ COMPLETO PROPOSTA'!AM686</f>
        <v>536667.56610515714</v>
      </c>
      <c r="N686" s="236"/>
      <c r="O686" s="237"/>
      <c r="P686" s="236"/>
      <c r="Q686" s="243"/>
    </row>
    <row r="687" spans="2:17" x14ac:dyDescent="0.3">
      <c r="B687" s="230" t="s">
        <v>752</v>
      </c>
      <c r="C687" s="230" t="s">
        <v>775</v>
      </c>
      <c r="D687" s="230" t="s">
        <v>94</v>
      </c>
      <c r="G687" s="200">
        <f ca="1">'MATRIZ COMPLETO PROPOSTA'!H687</f>
        <v>3221011.0723354812</v>
      </c>
      <c r="H687" s="200"/>
      <c r="I687" s="200"/>
      <c r="J687" s="200"/>
      <c r="K687" s="200">
        <f t="shared" ca="1" si="37"/>
        <v>3221011.0723354812</v>
      </c>
      <c r="M687" s="200">
        <f>'MATRIZ COMPLETO PROPOSTA'!BD687+
 'MATRIZ COMPLETO PROPOSTA'!BA687+
 'MATRIZ COMPLETO PROPOSTA'!AX687+
 'MATRIZ COMPLETO PROPOSTA'!AS687+
 'MATRIZ COMPLETO PROPOSTA'!AM687</f>
        <v>895633.25957029243</v>
      </c>
      <c r="O687" s="200"/>
      <c r="Q687" s="240"/>
    </row>
    <row r="688" spans="2:17" x14ac:dyDescent="0.3">
      <c r="B688" s="235" t="s">
        <v>752</v>
      </c>
      <c r="C688" s="235" t="s">
        <v>776</v>
      </c>
      <c r="D688" s="235" t="s">
        <v>94</v>
      </c>
      <c r="E688" s="236"/>
      <c r="F688" s="236"/>
      <c r="G688" s="237">
        <f ca="1">'MATRIZ COMPLETO PROPOSTA'!H688</f>
        <v>10748762.609845459</v>
      </c>
      <c r="H688" s="237"/>
      <c r="I688" s="237"/>
      <c r="J688" s="237"/>
      <c r="K688" s="237">
        <f t="shared" ca="1" si="37"/>
        <v>10748762.609845459</v>
      </c>
      <c r="L688" s="236"/>
      <c r="M688" s="237">
        <f>'MATRIZ COMPLETO PROPOSTA'!BD688+
 'MATRIZ COMPLETO PROPOSTA'!BA688+
 'MATRIZ COMPLETO PROPOSTA'!AX688+
 'MATRIZ COMPLETO PROPOSTA'!AS688+
 'MATRIZ COMPLETO PROPOSTA'!AM688</f>
        <v>3100491.2265364127</v>
      </c>
      <c r="N688" s="236"/>
      <c r="O688" s="237"/>
      <c r="P688" s="236"/>
      <c r="Q688" s="243"/>
    </row>
    <row r="689" spans="2:17" x14ac:dyDescent="0.3">
      <c r="B689" s="230" t="s">
        <v>752</v>
      </c>
      <c r="C689" s="230" t="s">
        <v>777</v>
      </c>
      <c r="D689" s="230" t="s">
        <v>94</v>
      </c>
      <c r="G689" s="200">
        <f ca="1">'MATRIZ COMPLETO PROPOSTA'!H689</f>
        <v>1039661.1245540396</v>
      </c>
      <c r="H689" s="200"/>
      <c r="I689" s="200"/>
      <c r="J689" s="200"/>
      <c r="K689" s="200">
        <f t="shared" ca="1" si="37"/>
        <v>1039661.1245540396</v>
      </c>
      <c r="M689" s="200">
        <f>'MATRIZ COMPLETO PROPOSTA'!BD689+
 'MATRIZ COMPLETO PROPOSTA'!BA689+
 'MATRIZ COMPLETO PROPOSTA'!AX689+
 'MATRIZ COMPLETO PROPOSTA'!AS689+
 'MATRIZ COMPLETO PROPOSTA'!AM689</f>
        <v>419909.09893577656</v>
      </c>
      <c r="O689" s="200"/>
      <c r="Q689" s="240"/>
    </row>
    <row r="690" spans="2:17" x14ac:dyDescent="0.3">
      <c r="B690" s="235" t="s">
        <v>752</v>
      </c>
      <c r="C690" s="235" t="s">
        <v>778</v>
      </c>
      <c r="D690" s="235" t="s">
        <v>94</v>
      </c>
      <c r="E690" s="236"/>
      <c r="F690" s="236"/>
      <c r="G690" s="237">
        <f ca="1">'MATRIZ COMPLETO PROPOSTA'!H690</f>
        <v>702660.75583080773</v>
      </c>
      <c r="H690" s="237"/>
      <c r="I690" s="237"/>
      <c r="J690" s="237"/>
      <c r="K690" s="237">
        <f t="shared" ca="1" si="37"/>
        <v>702660.75583080773</v>
      </c>
      <c r="L690" s="236"/>
      <c r="M690" s="237">
        <f>'MATRIZ COMPLETO PROPOSTA'!BD690+
 'MATRIZ COMPLETO PROPOSTA'!BA690+
 'MATRIZ COMPLETO PROPOSTA'!AX690+
 'MATRIZ COMPLETO PROPOSTA'!AS690+
 'MATRIZ COMPLETO PROPOSTA'!AM690</f>
        <v>339689.50916717364</v>
      </c>
      <c r="N690" s="236"/>
      <c r="O690" s="237"/>
      <c r="P690" s="236"/>
      <c r="Q690" s="243"/>
    </row>
    <row r="691" spans="2:17" x14ac:dyDescent="0.3">
      <c r="B691" s="230" t="s">
        <v>752</v>
      </c>
      <c r="C691" s="230" t="s">
        <v>779</v>
      </c>
      <c r="D691" s="230" t="s">
        <v>94</v>
      </c>
      <c r="G691" s="200">
        <f ca="1">'MATRIZ COMPLETO PROPOSTA'!H691</f>
        <v>2056776.6435640431</v>
      </c>
      <c r="H691" s="200"/>
      <c r="I691" s="200"/>
      <c r="J691" s="200"/>
      <c r="K691" s="200">
        <f t="shared" ca="1" si="37"/>
        <v>2056776.6435640431</v>
      </c>
      <c r="M691" s="200">
        <f>'MATRIZ COMPLETO PROPOSTA'!BD691+
 'MATRIZ COMPLETO PROPOSTA'!BA691+
 'MATRIZ COMPLETO PROPOSTA'!AX691+
 'MATRIZ COMPLETO PROPOSTA'!AS691+
 'MATRIZ COMPLETO PROPOSTA'!AM691</f>
        <v>850206.44925619476</v>
      </c>
      <c r="O691" s="200"/>
      <c r="Q691" s="240"/>
    </row>
    <row r="692" spans="2:17" x14ac:dyDescent="0.3">
      <c r="B692" s="235" t="s">
        <v>752</v>
      </c>
      <c r="C692" s="235" t="s">
        <v>780</v>
      </c>
      <c r="D692" s="235" t="s">
        <v>94</v>
      </c>
      <c r="E692" s="236"/>
      <c r="F692" s="236"/>
      <c r="G692" s="237">
        <f ca="1">'MATRIZ COMPLETO PROPOSTA'!H692</f>
        <v>2960177.6844612597</v>
      </c>
      <c r="H692" s="237"/>
      <c r="I692" s="237"/>
      <c r="J692" s="237"/>
      <c r="K692" s="237">
        <f t="shared" ca="1" si="37"/>
        <v>2960177.6844612597</v>
      </c>
      <c r="L692" s="236"/>
      <c r="M692" s="237">
        <f>'MATRIZ COMPLETO PROPOSTA'!BD692+
 'MATRIZ COMPLETO PROPOSTA'!BA692+
 'MATRIZ COMPLETO PROPOSTA'!AX692+
 'MATRIZ COMPLETO PROPOSTA'!AS692+
 'MATRIZ COMPLETO PROPOSTA'!AM692</f>
        <v>731678.95840753824</v>
      </c>
      <c r="N692" s="236"/>
      <c r="O692" s="237"/>
      <c r="P692" s="236"/>
      <c r="Q692" s="243"/>
    </row>
    <row r="693" spans="2:17" x14ac:dyDescent="0.3">
      <c r="B693" s="230" t="s">
        <v>752</v>
      </c>
      <c r="C693" s="230" t="s">
        <v>781</v>
      </c>
      <c r="D693" s="230" t="s">
        <v>94</v>
      </c>
      <c r="G693" s="200">
        <f ca="1">'MATRIZ COMPLETO PROPOSTA'!H693</f>
        <v>2432607.5402957108</v>
      </c>
      <c r="H693" s="200"/>
      <c r="I693" s="200"/>
      <c r="J693" s="200"/>
      <c r="K693" s="200">
        <f t="shared" ca="1" si="37"/>
        <v>2432607.5402957108</v>
      </c>
      <c r="M693" s="200">
        <f>'MATRIZ COMPLETO PROPOSTA'!BD693+
 'MATRIZ COMPLETO PROPOSTA'!BA693+
 'MATRIZ COMPLETO PROPOSTA'!AX693+
 'MATRIZ COMPLETO PROPOSTA'!AS693+
 'MATRIZ COMPLETO PROPOSTA'!AM693</f>
        <v>688586.45440060645</v>
      </c>
      <c r="O693" s="200"/>
      <c r="Q693" s="240"/>
    </row>
    <row r="694" spans="2:17" x14ac:dyDescent="0.3">
      <c r="B694" s="235" t="s">
        <v>752</v>
      </c>
      <c r="C694" s="235" t="s">
        <v>782</v>
      </c>
      <c r="D694" s="235" t="s">
        <v>94</v>
      </c>
      <c r="E694" s="236"/>
      <c r="F694" s="236"/>
      <c r="G694" s="237">
        <f ca="1">'MATRIZ COMPLETO PROPOSTA'!H694</f>
        <v>2516466.0013071094</v>
      </c>
      <c r="H694" s="237"/>
      <c r="I694" s="237"/>
      <c r="J694" s="237"/>
      <c r="K694" s="237">
        <f t="shared" ca="1" si="37"/>
        <v>2516466.0013071094</v>
      </c>
      <c r="L694" s="236"/>
      <c r="M694" s="237">
        <f>'MATRIZ COMPLETO PROPOSTA'!BD694+
 'MATRIZ COMPLETO PROPOSTA'!BA694+
 'MATRIZ COMPLETO PROPOSTA'!AX694+
 'MATRIZ COMPLETO PROPOSTA'!AS694+
 'MATRIZ COMPLETO PROPOSTA'!AM694</f>
        <v>802288.18503039773</v>
      </c>
      <c r="N694" s="236"/>
      <c r="O694" s="237"/>
      <c r="P694" s="236"/>
      <c r="Q694" s="243"/>
    </row>
    <row r="695" spans="2:17" x14ac:dyDescent="0.3">
      <c r="B695" s="230" t="s">
        <v>752</v>
      </c>
      <c r="C695" s="230" t="s">
        <v>783</v>
      </c>
      <c r="D695" s="230" t="s">
        <v>94</v>
      </c>
      <c r="G695" s="200">
        <f ca="1">'MATRIZ COMPLETO PROPOSTA'!H695</f>
        <v>2953363.1302575283</v>
      </c>
      <c r="H695" s="200"/>
      <c r="I695" s="200"/>
      <c r="J695" s="200"/>
      <c r="K695" s="200">
        <f t="shared" ca="1" si="37"/>
        <v>2953363.1302575283</v>
      </c>
      <c r="M695" s="200">
        <f>'MATRIZ COMPLETO PROPOSTA'!BD695+
 'MATRIZ COMPLETO PROPOSTA'!BA695+
 'MATRIZ COMPLETO PROPOSTA'!AX695+
 'MATRIZ COMPLETO PROPOSTA'!AS695+
 'MATRIZ COMPLETO PROPOSTA'!AM695</f>
        <v>869954.10040573031</v>
      </c>
      <c r="O695" s="200"/>
      <c r="Q695" s="240"/>
    </row>
    <row r="696" spans="2:17" x14ac:dyDescent="0.3">
      <c r="B696" s="235" t="s">
        <v>752</v>
      </c>
      <c r="C696" s="235" t="s">
        <v>784</v>
      </c>
      <c r="D696" s="235" t="s">
        <v>94</v>
      </c>
      <c r="E696" s="236"/>
      <c r="F696" s="236"/>
      <c r="G696" s="237">
        <f ca="1">'MATRIZ COMPLETO PROPOSTA'!H696</f>
        <v>2274200.1845376878</v>
      </c>
      <c r="H696" s="237"/>
      <c r="I696" s="237"/>
      <c r="J696" s="237"/>
      <c r="K696" s="237">
        <f t="shared" ca="1" si="37"/>
        <v>2274200.1845376878</v>
      </c>
      <c r="L696" s="236"/>
      <c r="M696" s="237">
        <f>'MATRIZ COMPLETO PROPOSTA'!BD696+
 'MATRIZ COMPLETO PROPOSTA'!BA696+
 'MATRIZ COMPLETO PROPOSTA'!AX696+
 'MATRIZ COMPLETO PROPOSTA'!AS696+
 'MATRIZ COMPLETO PROPOSTA'!AM696</f>
        <v>776049.5733796336</v>
      </c>
      <c r="N696" s="236"/>
      <c r="O696" s="237"/>
      <c r="P696" s="236"/>
      <c r="Q696" s="243"/>
    </row>
    <row r="697" spans="2:17" x14ac:dyDescent="0.3">
      <c r="B697" s="230" t="s">
        <v>752</v>
      </c>
      <c r="C697" s="230" t="s">
        <v>785</v>
      </c>
      <c r="D697" s="230" t="s">
        <v>94</v>
      </c>
      <c r="G697" s="200">
        <f ca="1">'MATRIZ COMPLETO PROPOSTA'!H697</f>
        <v>1347881.3732710271</v>
      </c>
      <c r="H697" s="200"/>
      <c r="I697" s="200"/>
      <c r="J697" s="200"/>
      <c r="K697" s="200">
        <f t="shared" ca="1" si="37"/>
        <v>1347881.3732710271</v>
      </c>
      <c r="M697" s="200">
        <f>'MATRIZ COMPLETO PROPOSTA'!BD697+
 'MATRIZ COMPLETO PROPOSTA'!BA697+
 'MATRIZ COMPLETO PROPOSTA'!AX697+
 'MATRIZ COMPLETO PROPOSTA'!AS697+
 'MATRIZ COMPLETO PROPOSTA'!AM697</f>
        <v>553423.48228150723</v>
      </c>
      <c r="O697" s="200"/>
      <c r="Q697" s="240"/>
    </row>
    <row r="698" spans="2:17" x14ac:dyDescent="0.3">
      <c r="B698" s="235" t="s">
        <v>752</v>
      </c>
      <c r="C698" s="235" t="s">
        <v>786</v>
      </c>
      <c r="D698" s="235" t="s">
        <v>94</v>
      </c>
      <c r="E698" s="236"/>
      <c r="F698" s="236"/>
      <c r="G698" s="237">
        <f ca="1">'MATRIZ COMPLETO PROPOSTA'!H698</f>
        <v>1157207.8917078727</v>
      </c>
      <c r="H698" s="237"/>
      <c r="I698" s="237"/>
      <c r="J698" s="237"/>
      <c r="K698" s="237">
        <f t="shared" ca="1" si="37"/>
        <v>1157207.8917078727</v>
      </c>
      <c r="L698" s="236"/>
      <c r="M698" s="237">
        <f>'MATRIZ COMPLETO PROPOSTA'!BD698+
 'MATRIZ COMPLETO PROPOSTA'!BA698+
 'MATRIZ COMPLETO PROPOSTA'!AX698+
 'MATRIZ COMPLETO PROPOSTA'!AS698+
 'MATRIZ COMPLETO PROPOSTA'!AM698</f>
        <v>297167.7183875707</v>
      </c>
      <c r="N698" s="236"/>
      <c r="O698" s="237"/>
      <c r="P698" s="236"/>
      <c r="Q698" s="243"/>
    </row>
    <row r="699" spans="2:17" x14ac:dyDescent="0.3">
      <c r="B699" s="230" t="s">
        <v>752</v>
      </c>
      <c r="C699" s="230" t="s">
        <v>787</v>
      </c>
      <c r="D699" s="230" t="s">
        <v>94</v>
      </c>
      <c r="G699" s="200">
        <f ca="1">'MATRIZ COMPLETO PROPOSTA'!H699</f>
        <v>2422637.2784010987</v>
      </c>
      <c r="H699" s="200"/>
      <c r="I699" s="200"/>
      <c r="J699" s="200"/>
      <c r="K699" s="200">
        <f t="shared" ca="1" si="37"/>
        <v>2422637.2784010987</v>
      </c>
      <c r="M699" s="200">
        <f>'MATRIZ COMPLETO PROPOSTA'!BD699+
 'MATRIZ COMPLETO PROPOSTA'!BA699+
 'MATRIZ COMPLETO PROPOSTA'!AX699+
 'MATRIZ COMPLETO PROPOSTA'!AS699+
 'MATRIZ COMPLETO PROPOSTA'!AM699</f>
        <v>763402.48243328743</v>
      </c>
      <c r="O699" s="200"/>
      <c r="Q699" s="240"/>
    </row>
    <row r="700" spans="2:17" x14ac:dyDescent="0.3">
      <c r="B700" s="235" t="s">
        <v>752</v>
      </c>
      <c r="C700" s="235" t="s">
        <v>788</v>
      </c>
      <c r="D700" s="235" t="s">
        <v>94</v>
      </c>
      <c r="E700" s="236"/>
      <c r="F700" s="236"/>
      <c r="G700" s="237">
        <f ca="1">'MATRIZ COMPLETO PROPOSTA'!H700</f>
        <v>2112818.2150293095</v>
      </c>
      <c r="H700" s="237"/>
      <c r="I700" s="237"/>
      <c r="J700" s="237"/>
      <c r="K700" s="237">
        <f t="shared" ca="1" si="37"/>
        <v>2112818.2150293095</v>
      </c>
      <c r="L700" s="236"/>
      <c r="M700" s="237">
        <f>'MATRIZ COMPLETO PROPOSTA'!BD700+
 'MATRIZ COMPLETO PROPOSTA'!BA700+
 'MATRIZ COMPLETO PROPOSTA'!AX700+
 'MATRIZ COMPLETO PROPOSTA'!AS700+
 'MATRIZ COMPLETO PROPOSTA'!AM700</f>
        <v>517138.62880257471</v>
      </c>
      <c r="N700" s="236"/>
      <c r="O700" s="237"/>
      <c r="P700" s="236"/>
      <c r="Q700" s="243"/>
    </row>
    <row r="701" spans="2:17" x14ac:dyDescent="0.3">
      <c r="B701" s="230" t="s">
        <v>752</v>
      </c>
      <c r="C701" s="230" t="s">
        <v>789</v>
      </c>
      <c r="D701" s="230" t="s">
        <v>94</v>
      </c>
      <c r="G701" s="200">
        <f ca="1">'MATRIZ COMPLETO PROPOSTA'!H701</f>
        <v>695850.38790115004</v>
      </c>
      <c r="H701" s="200"/>
      <c r="I701" s="200"/>
      <c r="J701" s="200"/>
      <c r="K701" s="200">
        <f t="shared" ca="1" si="37"/>
        <v>695850.38790115004</v>
      </c>
      <c r="M701" s="200">
        <f>'MATRIZ COMPLETO PROPOSTA'!BD701+
 'MATRIZ COMPLETO PROPOSTA'!BA701+
 'MATRIZ COMPLETO PROPOSTA'!AX701+
 'MATRIZ COMPLETO PROPOSTA'!AS701+
 'MATRIZ COMPLETO PROPOSTA'!AM701</f>
        <v>242953.86287958952</v>
      </c>
      <c r="O701" s="200"/>
      <c r="Q701" s="240"/>
    </row>
    <row r="702" spans="2:17" x14ac:dyDescent="0.3">
      <c r="B702" s="235" t="s">
        <v>752</v>
      </c>
      <c r="C702" s="235" t="s">
        <v>790</v>
      </c>
      <c r="D702" s="235" t="s">
        <v>94</v>
      </c>
      <c r="E702" s="236"/>
      <c r="F702" s="236"/>
      <c r="G702" s="237">
        <f ca="1">'MATRIZ COMPLETO PROPOSTA'!H702</f>
        <v>525292.71710237209</v>
      </c>
      <c r="H702" s="237"/>
      <c r="I702" s="237"/>
      <c r="J702" s="237"/>
      <c r="K702" s="237">
        <f t="shared" ca="1" si="37"/>
        <v>525292.71710237209</v>
      </c>
      <c r="L702" s="236"/>
      <c r="M702" s="237">
        <f>'MATRIZ COMPLETO PROPOSTA'!BD702+
 'MATRIZ COMPLETO PROPOSTA'!BA702+
 'MATRIZ COMPLETO PROPOSTA'!AX702+
 'MATRIZ COMPLETO PROPOSTA'!AS702+
 'MATRIZ COMPLETO PROPOSTA'!AM702</f>
        <v>161547.87516775937</v>
      </c>
      <c r="N702" s="236"/>
      <c r="O702" s="237"/>
      <c r="P702" s="236"/>
      <c r="Q702" s="243"/>
    </row>
    <row r="703" spans="2:17" x14ac:dyDescent="0.3">
      <c r="B703" s="230" t="s">
        <v>752</v>
      </c>
      <c r="C703" s="230" t="s">
        <v>791</v>
      </c>
      <c r="D703" s="230" t="s">
        <v>94</v>
      </c>
      <c r="G703" s="200">
        <f ca="1">'MATRIZ COMPLETO PROPOSTA'!H703</f>
        <v>1441477.9440455178</v>
      </c>
      <c r="H703" s="200"/>
      <c r="I703" s="200"/>
      <c r="J703" s="200"/>
      <c r="K703" s="200">
        <f t="shared" ca="1" si="37"/>
        <v>1441477.9440455178</v>
      </c>
      <c r="M703" s="200">
        <f>'MATRIZ COMPLETO PROPOSTA'!BD703+
 'MATRIZ COMPLETO PROPOSTA'!BA703+
 'MATRIZ COMPLETO PROPOSTA'!AX703+
 'MATRIZ COMPLETO PROPOSTA'!AS703+
 'MATRIZ COMPLETO PROPOSTA'!AM703</f>
        <v>451397.19018271181</v>
      </c>
      <c r="O703" s="200"/>
      <c r="Q703" s="240"/>
    </row>
    <row r="704" spans="2:17" x14ac:dyDescent="0.3">
      <c r="B704" s="235" t="s">
        <v>752</v>
      </c>
      <c r="C704" s="235" t="s">
        <v>792</v>
      </c>
      <c r="D704" s="235" t="s">
        <v>209</v>
      </c>
      <c r="E704" s="236"/>
      <c r="F704" s="236"/>
      <c r="G704" s="237">
        <f ca="1">'MATRIZ COMPLETO PROPOSTA'!H704</f>
        <v>874993.9505041223</v>
      </c>
      <c r="H704" s="237"/>
      <c r="I704" s="237"/>
      <c r="J704" s="237"/>
      <c r="K704" s="237">
        <f t="shared" ca="1" si="37"/>
        <v>874993.9505041223</v>
      </c>
      <c r="L704" s="236"/>
      <c r="M704" s="237">
        <f>'MATRIZ COMPLETO PROPOSTA'!BD704+
 'MATRIZ COMPLETO PROPOSTA'!BA704+
 'MATRIZ COMPLETO PROPOSTA'!AX704+
 'MATRIZ COMPLETO PROPOSTA'!AS704+
 'MATRIZ COMPLETO PROPOSTA'!AM704</f>
        <v>107986.83176797358</v>
      </c>
      <c r="N704" s="236"/>
      <c r="O704" s="237"/>
      <c r="P704" s="236"/>
      <c r="Q704" s="243"/>
    </row>
    <row r="705" spans="2:17" x14ac:dyDescent="0.3">
      <c r="G705" s="200"/>
      <c r="H705" s="200"/>
      <c r="I705" s="200"/>
      <c r="J705" s="200"/>
      <c r="K705" s="200"/>
      <c r="M705" s="200"/>
      <c r="O705" s="200"/>
      <c r="Q705" s="240"/>
    </row>
    <row r="706" spans="2:17" x14ac:dyDescent="0.3">
      <c r="B706" s="231" t="s">
        <v>793</v>
      </c>
      <c r="C706" s="231" t="s">
        <v>794</v>
      </c>
      <c r="D706" s="232" t="s">
        <v>154</v>
      </c>
      <c r="E706" s="232"/>
      <c r="F706" s="232"/>
      <c r="G706" s="238">
        <f ca="1">SUM(G707:G717)</f>
        <v>18703005.370070171</v>
      </c>
      <c r="H706" s="238">
        <f>'MATRIZ COMPLETO PROPOSTA'!Y706</f>
        <v>693568.56224065053</v>
      </c>
      <c r="I706" s="238">
        <f>'MATRIZ COMPLETO PROPOSTA'!AA706</f>
        <v>1455180.6355624676</v>
      </c>
      <c r="J706" s="238">
        <f>'MATRIZ COMPLETO PROPOSTA'!AC706</f>
        <v>2825205.5900893104</v>
      </c>
      <c r="K706" s="238">
        <f ca="1">SUM(G706:J706)</f>
        <v>23676960.157962598</v>
      </c>
      <c r="L706" s="232"/>
      <c r="M706" s="238">
        <f>SUM(M707:M717)</f>
        <v>6073980.520663701</v>
      </c>
      <c r="N706" s="232"/>
      <c r="O706" s="238">
        <f ca="1">K706*'DADOS BASE'!$I$22</f>
        <v>35515.440236943898</v>
      </c>
      <c r="P706" s="232"/>
      <c r="Q706" s="241">
        <f ca="1">SUM(H706:J706)/K706</f>
        <v>0.21007573416132477</v>
      </c>
    </row>
    <row r="707" spans="2:17" x14ac:dyDescent="0.3">
      <c r="B707" s="233" t="s">
        <v>793</v>
      </c>
      <c r="C707" s="234" t="s">
        <v>156</v>
      </c>
      <c r="D707" s="234" t="s">
        <v>157</v>
      </c>
      <c r="E707" s="234"/>
      <c r="F707" s="234"/>
      <c r="G707" s="239">
        <f>('MATRIZ COMPLETO PROPOSTA'!L706+
  'MATRIZ COMPLETO PROPOSTA'!P706*0.25+
  'MATRIZ COMPLETO PROPOSTA'!S706*0.8)
 /
 ('MATRIZ COMPLETO PROPOSTA'!L11+
  'MATRIZ COMPLETO PROPOSTA'!P11*0.25+
  'MATRIZ COMPLETO PROPOSTA'!S11*0.8)
 *
 'DADOS BASE'!$J$93</f>
        <v>2000333.9300077967</v>
      </c>
      <c r="H707" s="239"/>
      <c r="I707" s="239"/>
      <c r="J707" s="239"/>
      <c r="K707" s="239">
        <f t="shared" ref="K707:K717" si="38">J707+I707+H707+G707</f>
        <v>2000333.9300077967</v>
      </c>
      <c r="L707" s="234"/>
      <c r="M707" s="239">
        <f>'MATRIZ COMPLETO PROPOSTA'!BD707+
 'MATRIZ COMPLETO PROPOSTA'!BA707+
 'MATRIZ COMPLETO PROPOSTA'!AX707+
 'MATRIZ COMPLETO PROPOSTA'!AS707+
 'MATRIZ COMPLETO PROPOSTA'!AM707</f>
        <v>0</v>
      </c>
      <c r="N707" s="234"/>
      <c r="O707" s="239"/>
      <c r="P707" s="234"/>
      <c r="Q707" s="242"/>
    </row>
    <row r="708" spans="2:17" x14ac:dyDescent="0.3">
      <c r="B708" s="235" t="s">
        <v>793</v>
      </c>
      <c r="C708" s="235" t="s">
        <v>795</v>
      </c>
      <c r="D708" s="235" t="s">
        <v>94</v>
      </c>
      <c r="E708" s="236"/>
      <c r="F708" s="236"/>
      <c r="G708" s="237">
        <f ca="1">'MATRIZ COMPLETO PROPOSTA'!H708</f>
        <v>6905678.1409523608</v>
      </c>
      <c r="H708" s="237"/>
      <c r="I708" s="237"/>
      <c r="J708" s="237"/>
      <c r="K708" s="237">
        <f t="shared" ca="1" si="38"/>
        <v>6905678.1409523608</v>
      </c>
      <c r="L708" s="236"/>
      <c r="M708" s="237">
        <f>'MATRIZ COMPLETO PROPOSTA'!BD708+
 'MATRIZ COMPLETO PROPOSTA'!BA708+
 'MATRIZ COMPLETO PROPOSTA'!AX708+
 'MATRIZ COMPLETO PROPOSTA'!AS708+
 'MATRIZ COMPLETO PROPOSTA'!AM708</f>
        <v>2476455.2201795923</v>
      </c>
      <c r="N708" s="236"/>
      <c r="O708" s="237"/>
      <c r="P708" s="236"/>
      <c r="Q708" s="243"/>
    </row>
    <row r="709" spans="2:17" x14ac:dyDescent="0.3">
      <c r="B709" s="230" t="s">
        <v>793</v>
      </c>
      <c r="C709" s="230" t="s">
        <v>796</v>
      </c>
      <c r="D709" s="230" t="s">
        <v>94</v>
      </c>
      <c r="G709" s="200">
        <f ca="1">'MATRIZ COMPLETO PROPOSTA'!H709</f>
        <v>1721863.7963720448</v>
      </c>
      <c r="H709" s="200"/>
      <c r="I709" s="200"/>
      <c r="J709" s="200"/>
      <c r="K709" s="200">
        <f t="shared" ca="1" si="38"/>
        <v>1721863.7963720448</v>
      </c>
      <c r="M709" s="200">
        <f>'MATRIZ COMPLETO PROPOSTA'!BD709+
 'MATRIZ COMPLETO PROPOSTA'!BA709+
 'MATRIZ COMPLETO PROPOSTA'!AX709+
 'MATRIZ COMPLETO PROPOSTA'!AS709+
 'MATRIZ COMPLETO PROPOSTA'!AM709</f>
        <v>587410.79138322733</v>
      </c>
      <c r="O709" s="200"/>
      <c r="Q709" s="240"/>
    </row>
    <row r="710" spans="2:17" x14ac:dyDescent="0.3">
      <c r="B710" s="235" t="s">
        <v>793</v>
      </c>
      <c r="C710" s="235" t="s">
        <v>523</v>
      </c>
      <c r="D710" s="235" t="s">
        <v>94</v>
      </c>
      <c r="E710" s="236"/>
      <c r="F710" s="236"/>
      <c r="G710" s="237">
        <f ca="1">'MATRIZ COMPLETO PROPOSTA'!H710</f>
        <v>988487.34457206528</v>
      </c>
      <c r="H710" s="237"/>
      <c r="I710" s="237"/>
      <c r="J710" s="237"/>
      <c r="K710" s="237">
        <f t="shared" ca="1" si="38"/>
        <v>988487.34457206528</v>
      </c>
      <c r="L710" s="236"/>
      <c r="M710" s="237">
        <f>'MATRIZ COMPLETO PROPOSTA'!BD710+
 'MATRIZ COMPLETO PROPOSTA'!BA710+
 'MATRIZ COMPLETO PROPOSTA'!AX710+
 'MATRIZ COMPLETO PROPOSTA'!AS710+
 'MATRIZ COMPLETO PROPOSTA'!AM710</f>
        <v>450743.15562564833</v>
      </c>
      <c r="N710" s="236"/>
      <c r="O710" s="237"/>
      <c r="P710" s="236"/>
      <c r="Q710" s="243"/>
    </row>
    <row r="711" spans="2:17" x14ac:dyDescent="0.3">
      <c r="B711" s="230" t="s">
        <v>793</v>
      </c>
      <c r="C711" s="230" t="s">
        <v>797</v>
      </c>
      <c r="D711" s="230" t="s">
        <v>94</v>
      </c>
      <c r="G711" s="200">
        <f ca="1">'MATRIZ COMPLETO PROPOSTA'!H711</f>
        <v>2204129.4776318213</v>
      </c>
      <c r="H711" s="200"/>
      <c r="I711" s="200"/>
      <c r="J711" s="200"/>
      <c r="K711" s="200">
        <f t="shared" ca="1" si="38"/>
        <v>2204129.4776318213</v>
      </c>
      <c r="M711" s="200">
        <f>'MATRIZ COMPLETO PROPOSTA'!BD711+
 'MATRIZ COMPLETO PROPOSTA'!BA711+
 'MATRIZ COMPLETO PROPOSTA'!AX711+
 'MATRIZ COMPLETO PROPOSTA'!AS711+
 'MATRIZ COMPLETO PROPOSTA'!AM711</f>
        <v>844314.84134331578</v>
      </c>
      <c r="O711" s="200"/>
      <c r="Q711" s="240"/>
    </row>
    <row r="712" spans="2:17" x14ac:dyDescent="0.3">
      <c r="B712" s="235" t="s">
        <v>793</v>
      </c>
      <c r="C712" s="235" t="s">
        <v>798</v>
      </c>
      <c r="D712" s="235" t="s">
        <v>94</v>
      </c>
      <c r="E712" s="236"/>
      <c r="F712" s="236"/>
      <c r="G712" s="237">
        <f ca="1">'MATRIZ COMPLETO PROPOSTA'!H712</f>
        <v>525336.3245907689</v>
      </c>
      <c r="H712" s="237"/>
      <c r="I712" s="237"/>
      <c r="J712" s="237"/>
      <c r="K712" s="237">
        <f t="shared" ca="1" si="38"/>
        <v>525336.3245907689</v>
      </c>
      <c r="L712" s="236"/>
      <c r="M712" s="237">
        <f>'MATRIZ COMPLETO PROPOSTA'!BD712+
 'MATRIZ COMPLETO PROPOSTA'!BA712+
 'MATRIZ COMPLETO PROPOSTA'!AX712+
 'MATRIZ COMPLETO PROPOSTA'!AS712+
 'MATRIZ COMPLETO PROPOSTA'!AM712</f>
        <v>126738.67551430097</v>
      </c>
      <c r="N712" s="236"/>
      <c r="O712" s="237"/>
      <c r="P712" s="236"/>
      <c r="Q712" s="243"/>
    </row>
    <row r="713" spans="2:17" x14ac:dyDescent="0.3">
      <c r="B713" s="230" t="s">
        <v>793</v>
      </c>
      <c r="C713" s="230" t="s">
        <v>799</v>
      </c>
      <c r="D713" s="230" t="s">
        <v>94</v>
      </c>
      <c r="G713" s="200">
        <f ca="1">'MATRIZ COMPLETO PROPOSTA'!H713</f>
        <v>299378.81606179645</v>
      </c>
      <c r="H713" s="200"/>
      <c r="I713" s="200"/>
      <c r="J713" s="200"/>
      <c r="K713" s="200">
        <f t="shared" ca="1" si="38"/>
        <v>299378.81606179645</v>
      </c>
      <c r="M713" s="200">
        <f>'MATRIZ COMPLETO PROPOSTA'!BD713+
 'MATRIZ COMPLETO PROPOSTA'!BA713+
 'MATRIZ COMPLETO PROPOSTA'!AX713+
 'MATRIZ COMPLETO PROPOSTA'!AS713+
 'MATRIZ COMPLETO PROPOSTA'!AM713</f>
        <v>139520.84179688367</v>
      </c>
      <c r="O713" s="200"/>
      <c r="Q713" s="240"/>
    </row>
    <row r="714" spans="2:17" x14ac:dyDescent="0.3">
      <c r="B714" s="235" t="s">
        <v>793</v>
      </c>
      <c r="C714" s="235" t="s">
        <v>800</v>
      </c>
      <c r="D714" s="235" t="s">
        <v>92</v>
      </c>
      <c r="E714" s="236"/>
      <c r="F714" s="236"/>
      <c r="G714" s="237">
        <f ca="1">'MATRIZ COMPLETO PROPOSTA'!H714</f>
        <v>700000</v>
      </c>
      <c r="H714" s="237"/>
      <c r="I714" s="237"/>
      <c r="J714" s="237"/>
      <c r="K714" s="237">
        <f t="shared" ca="1" si="38"/>
        <v>700000</v>
      </c>
      <c r="L714" s="236"/>
      <c r="M714" s="237">
        <f>'MATRIZ COMPLETO PROPOSTA'!BD714+
 'MATRIZ COMPLETO PROPOSTA'!BA714+
 'MATRIZ COMPLETO PROPOSTA'!AX714+
 'MATRIZ COMPLETO PROPOSTA'!AS714+
 'MATRIZ COMPLETO PROPOSTA'!AM714</f>
        <v>0</v>
      </c>
      <c r="N714" s="236"/>
      <c r="O714" s="237"/>
      <c r="P714" s="236"/>
      <c r="Q714" s="243"/>
    </row>
    <row r="715" spans="2:17" x14ac:dyDescent="0.3">
      <c r="B715" s="230" t="s">
        <v>793</v>
      </c>
      <c r="C715" s="230" t="s">
        <v>801</v>
      </c>
      <c r="D715" s="230" t="s">
        <v>94</v>
      </c>
      <c r="G715" s="200">
        <f ca="1">'MATRIZ COMPLETO PROPOSTA'!H715</f>
        <v>157672.83924382104</v>
      </c>
      <c r="H715" s="200"/>
      <c r="I715" s="200"/>
      <c r="J715" s="200"/>
      <c r="K715" s="200">
        <f t="shared" ca="1" si="38"/>
        <v>157672.83924382104</v>
      </c>
      <c r="M715" s="200">
        <f>'MATRIZ COMPLETO PROPOSTA'!BD715+
 'MATRIZ COMPLETO PROPOSTA'!BA715+
 'MATRIZ COMPLETO PROPOSTA'!AX715+
 'MATRIZ COMPLETO PROPOSTA'!AS715+
 'MATRIZ COMPLETO PROPOSTA'!AM715</f>
        <v>115656.54353750026</v>
      </c>
      <c r="O715" s="200"/>
      <c r="Q715" s="240"/>
    </row>
    <row r="716" spans="2:17" x14ac:dyDescent="0.3">
      <c r="B716" s="235" t="s">
        <v>793</v>
      </c>
      <c r="C716" s="235" t="s">
        <v>802</v>
      </c>
      <c r="D716" s="235" t="s">
        <v>92</v>
      </c>
      <c r="E716" s="236"/>
      <c r="F716" s="236"/>
      <c r="G716" s="237">
        <f ca="1">'MATRIZ COMPLETO PROPOSTA'!H716</f>
        <v>2970080.4685428147</v>
      </c>
      <c r="H716" s="237"/>
      <c r="I716" s="237"/>
      <c r="J716" s="237"/>
      <c r="K716" s="237">
        <f t="shared" ca="1" si="38"/>
        <v>2970080.4685428147</v>
      </c>
      <c r="L716" s="236"/>
      <c r="M716" s="237">
        <f>'MATRIZ COMPLETO PROPOSTA'!BD716+
 'MATRIZ COMPLETO PROPOSTA'!BA716+
 'MATRIZ COMPLETO PROPOSTA'!AX716+
 'MATRIZ COMPLETO PROPOSTA'!AS716+
 'MATRIZ COMPLETO PROPOSTA'!AM716</f>
        <v>1189432.8413735796</v>
      </c>
      <c r="N716" s="236"/>
      <c r="O716" s="237"/>
      <c r="P716" s="236"/>
      <c r="Q716" s="243"/>
    </row>
    <row r="717" spans="2:17" x14ac:dyDescent="0.3">
      <c r="B717" s="230" t="s">
        <v>793</v>
      </c>
      <c r="C717" s="230" t="s">
        <v>803</v>
      </c>
      <c r="D717" s="230" t="s">
        <v>94</v>
      </c>
      <c r="G717" s="200">
        <f ca="1">'MATRIZ COMPLETO PROPOSTA'!H717</f>
        <v>230044.2320948813</v>
      </c>
      <c r="H717" s="200"/>
      <c r="I717" s="200"/>
      <c r="J717" s="200"/>
      <c r="K717" s="200">
        <f t="shared" ca="1" si="38"/>
        <v>230044.2320948813</v>
      </c>
      <c r="M717" s="200">
        <f>'MATRIZ COMPLETO PROPOSTA'!BD717+
 'MATRIZ COMPLETO PROPOSTA'!BA717+
 'MATRIZ COMPLETO PROPOSTA'!AX717+
 'MATRIZ COMPLETO PROPOSTA'!AS717+
 'MATRIZ COMPLETO PROPOSTA'!AM717</f>
        <v>143707.6099096532</v>
      </c>
      <c r="O717" s="200"/>
      <c r="Q717" s="240"/>
    </row>
    <row r="718" spans="2:17" x14ac:dyDescent="0.3">
      <c r="G718" s="200"/>
      <c r="H718" s="200"/>
      <c r="I718" s="200"/>
      <c r="J718" s="200"/>
      <c r="K718" s="200"/>
      <c r="M718" s="200"/>
      <c r="O718" s="200"/>
      <c r="Q718" s="240"/>
    </row>
    <row r="719" spans="2:17" x14ac:dyDescent="0.3">
      <c r="B719" s="231" t="s">
        <v>804</v>
      </c>
      <c r="C719" s="231" t="s">
        <v>805</v>
      </c>
      <c r="D719" s="232" t="s">
        <v>154</v>
      </c>
      <c r="E719" s="232"/>
      <c r="F719" s="232"/>
      <c r="G719" s="238">
        <f ca="1">SUM(G720:G758)</f>
        <v>91547379.170532584</v>
      </c>
      <c r="H719" s="238">
        <f>'MATRIZ COMPLETO PROPOSTA'!Y719</f>
        <v>1164095.2520426777</v>
      </c>
      <c r="I719" s="238">
        <f>'MATRIZ COMPLETO PROPOSTA'!AA719</f>
        <v>1353448.8740411338</v>
      </c>
      <c r="J719" s="238">
        <f>'MATRIZ COMPLETO PROPOSTA'!AC719</f>
        <v>523004.79341036652</v>
      </c>
      <c r="K719" s="238">
        <f ca="1">SUM(G719:J719)</f>
        <v>94587928.090026766</v>
      </c>
      <c r="L719" s="232"/>
      <c r="M719" s="238">
        <f>SUM(M720:M758)</f>
        <v>26313501.93239174</v>
      </c>
      <c r="N719" s="232"/>
      <c r="O719" s="238">
        <f ca="1">K719*'DADOS BASE'!$I$22</f>
        <v>141881.89213504017</v>
      </c>
      <c r="P719" s="232"/>
      <c r="Q719" s="241">
        <f ca="1">SUM(H719:J719)/K719</f>
        <v>3.2145211137305479E-2</v>
      </c>
    </row>
    <row r="720" spans="2:17" x14ac:dyDescent="0.3">
      <c r="B720" s="233" t="s">
        <v>804</v>
      </c>
      <c r="C720" s="234" t="s">
        <v>156</v>
      </c>
      <c r="D720" s="234" t="s">
        <v>157</v>
      </c>
      <c r="E720" s="234"/>
      <c r="F720" s="234"/>
      <c r="G720" s="239">
        <f>('MATRIZ COMPLETO PROPOSTA'!L719+
  'MATRIZ COMPLETO PROPOSTA'!P719*0.25+
  'MATRIZ COMPLETO PROPOSTA'!S719*0.8)
 /
 ('MATRIZ COMPLETO PROPOSTA'!L11+
  'MATRIZ COMPLETO PROPOSTA'!P11*0.25+
  'MATRIZ COMPLETO PROPOSTA'!S11*0.8)
 *
 'DADOS BASE'!$J$93</f>
        <v>10094666.12457172</v>
      </c>
      <c r="H720" s="239"/>
      <c r="I720" s="239"/>
      <c r="J720" s="239"/>
      <c r="K720" s="239">
        <f t="shared" ref="K720:K758" si="39">J720+I720+H720+G720</f>
        <v>10094666.12457172</v>
      </c>
      <c r="L720" s="234"/>
      <c r="M720" s="239">
        <f>'MATRIZ COMPLETO PROPOSTA'!BD720+
 'MATRIZ COMPLETO PROPOSTA'!BA720+
 'MATRIZ COMPLETO PROPOSTA'!AX720+
 'MATRIZ COMPLETO PROPOSTA'!AS720+
 'MATRIZ COMPLETO PROPOSTA'!AM720</f>
        <v>0</v>
      </c>
      <c r="N720" s="234"/>
      <c r="O720" s="239"/>
      <c r="P720" s="234"/>
      <c r="Q720" s="242"/>
    </row>
    <row r="721" spans="2:17" x14ac:dyDescent="0.3">
      <c r="B721" s="230" t="s">
        <v>804</v>
      </c>
      <c r="C721" s="230" t="s">
        <v>806</v>
      </c>
      <c r="D721" s="230" t="s">
        <v>94</v>
      </c>
      <c r="G721" s="200">
        <f ca="1">'MATRIZ COMPLETO PROPOSTA'!H721</f>
        <v>1881018.8017646442</v>
      </c>
      <c r="H721" s="200"/>
      <c r="I721" s="200"/>
      <c r="J721" s="200"/>
      <c r="K721" s="200">
        <f t="shared" ca="1" si="39"/>
        <v>1881018.8017646442</v>
      </c>
      <c r="M721" s="200">
        <f>'MATRIZ COMPLETO PROPOSTA'!BD721+
 'MATRIZ COMPLETO PROPOSTA'!BA721+
 'MATRIZ COMPLETO PROPOSTA'!AX721+
 'MATRIZ COMPLETO PROPOSTA'!AS721+
 'MATRIZ COMPLETO PROPOSTA'!AM721</f>
        <v>685815.30644911993</v>
      </c>
      <c r="O721" s="200"/>
      <c r="Q721" s="240"/>
    </row>
    <row r="722" spans="2:17" x14ac:dyDescent="0.3">
      <c r="B722" s="235" t="s">
        <v>804</v>
      </c>
      <c r="C722" s="235" t="s">
        <v>807</v>
      </c>
      <c r="D722" s="235" t="s">
        <v>98</v>
      </c>
      <c r="E722" s="236"/>
      <c r="F722" s="236"/>
      <c r="G722" s="237">
        <f ca="1">'MATRIZ COMPLETO PROPOSTA'!H722</f>
        <v>536045.33845895238</v>
      </c>
      <c r="H722" s="237"/>
      <c r="I722" s="237"/>
      <c r="J722" s="237"/>
      <c r="K722" s="237">
        <f t="shared" ca="1" si="39"/>
        <v>536045.33845895238</v>
      </c>
      <c r="L722" s="236"/>
      <c r="M722" s="237">
        <f>'MATRIZ COMPLETO PROPOSTA'!BD722+
 'MATRIZ COMPLETO PROPOSTA'!BA722+
 'MATRIZ COMPLETO PROPOSTA'!AX722+
 'MATRIZ COMPLETO PROPOSTA'!AS722+
 'MATRIZ COMPLETO PROPOSTA'!AM722</f>
        <v>180777.02925827133</v>
      </c>
      <c r="N722" s="236"/>
      <c r="O722" s="237"/>
      <c r="P722" s="236"/>
      <c r="Q722" s="243"/>
    </row>
    <row r="723" spans="2:17" x14ac:dyDescent="0.3">
      <c r="B723" s="230" t="s">
        <v>804</v>
      </c>
      <c r="C723" s="230" t="s">
        <v>808</v>
      </c>
      <c r="D723" s="230" t="s">
        <v>98</v>
      </c>
      <c r="G723" s="200">
        <f ca="1">'MATRIZ COMPLETO PROPOSTA'!H723</f>
        <v>441790.75128407718</v>
      </c>
      <c r="H723" s="200"/>
      <c r="I723" s="200"/>
      <c r="J723" s="200"/>
      <c r="K723" s="200">
        <f t="shared" ca="1" si="39"/>
        <v>441790.75128407718</v>
      </c>
      <c r="M723" s="200">
        <f>'MATRIZ COMPLETO PROPOSTA'!BD723+
 'MATRIZ COMPLETO PROPOSTA'!BA723+
 'MATRIZ COMPLETO PROPOSTA'!AX723+
 'MATRIZ COMPLETO PROPOSTA'!AS723+
 'MATRIZ COMPLETO PROPOSTA'!AM723</f>
        <v>203520.81934826387</v>
      </c>
      <c r="O723" s="200"/>
      <c r="Q723" s="240"/>
    </row>
    <row r="724" spans="2:17" x14ac:dyDescent="0.3">
      <c r="B724" s="235" t="s">
        <v>804</v>
      </c>
      <c r="C724" s="235" t="s">
        <v>809</v>
      </c>
      <c r="D724" s="235" t="s">
        <v>94</v>
      </c>
      <c r="E724" s="236"/>
      <c r="F724" s="236"/>
      <c r="G724" s="237">
        <f ca="1">'MATRIZ COMPLETO PROPOSTA'!H724</f>
        <v>626379.39191544091</v>
      </c>
      <c r="H724" s="237"/>
      <c r="I724" s="237"/>
      <c r="J724" s="237"/>
      <c r="K724" s="237">
        <f t="shared" ca="1" si="39"/>
        <v>626379.39191544091</v>
      </c>
      <c r="L724" s="236"/>
      <c r="M724" s="237">
        <f>'MATRIZ COMPLETO PROPOSTA'!BD724+
 'MATRIZ COMPLETO PROPOSTA'!BA724+
 'MATRIZ COMPLETO PROPOSTA'!AX724+
 'MATRIZ COMPLETO PROPOSTA'!AS724+
 'MATRIZ COMPLETO PROPOSTA'!AM724</f>
        <v>198050.15582808043</v>
      </c>
      <c r="N724" s="236"/>
      <c r="O724" s="237"/>
      <c r="P724" s="236"/>
      <c r="Q724" s="243"/>
    </row>
    <row r="725" spans="2:17" x14ac:dyDescent="0.3">
      <c r="B725" s="230" t="s">
        <v>804</v>
      </c>
      <c r="C725" s="230" t="s">
        <v>810</v>
      </c>
      <c r="D725" s="230" t="s">
        <v>94</v>
      </c>
      <c r="G725" s="200">
        <f ca="1">'MATRIZ COMPLETO PROPOSTA'!H725</f>
        <v>813779.18957333337</v>
      </c>
      <c r="H725" s="200"/>
      <c r="I725" s="200"/>
      <c r="J725" s="200"/>
      <c r="K725" s="200">
        <f t="shared" ca="1" si="39"/>
        <v>813779.18957333337</v>
      </c>
      <c r="M725" s="200">
        <f>'MATRIZ COMPLETO PROPOSTA'!BD725+
 'MATRIZ COMPLETO PROPOSTA'!BA725+
 'MATRIZ COMPLETO PROPOSTA'!AX725+
 'MATRIZ COMPLETO PROPOSTA'!AS725+
 'MATRIZ COMPLETO PROPOSTA'!AM725</f>
        <v>253200.35168521648</v>
      </c>
      <c r="O725" s="200"/>
      <c r="Q725" s="240"/>
    </row>
    <row r="726" spans="2:17" x14ac:dyDescent="0.3">
      <c r="B726" s="235" t="s">
        <v>804</v>
      </c>
      <c r="C726" s="235" t="s">
        <v>811</v>
      </c>
      <c r="D726" s="235" t="s">
        <v>92</v>
      </c>
      <c r="E726" s="236"/>
      <c r="F726" s="236"/>
      <c r="G726" s="237">
        <f ca="1">'MATRIZ COMPLETO PROPOSTA'!H726</f>
        <v>3054747.902480328</v>
      </c>
      <c r="H726" s="237"/>
      <c r="I726" s="237"/>
      <c r="J726" s="237"/>
      <c r="K726" s="237">
        <f t="shared" ca="1" si="39"/>
        <v>3054747.902480328</v>
      </c>
      <c r="L726" s="236"/>
      <c r="M726" s="237">
        <f>'MATRIZ COMPLETO PROPOSTA'!BD726+
 'MATRIZ COMPLETO PROPOSTA'!BA726+
 'MATRIZ COMPLETO PROPOSTA'!AX726+
 'MATRIZ COMPLETO PROPOSTA'!AS726+
 'MATRIZ COMPLETO PROPOSTA'!AM726</f>
        <v>293950.28237551561</v>
      </c>
      <c r="N726" s="236"/>
      <c r="O726" s="237"/>
      <c r="P726" s="236"/>
      <c r="Q726" s="243"/>
    </row>
    <row r="727" spans="2:17" x14ac:dyDescent="0.3">
      <c r="B727" s="230" t="s">
        <v>804</v>
      </c>
      <c r="C727" s="230" t="s">
        <v>812</v>
      </c>
      <c r="D727" s="230" t="s">
        <v>94</v>
      </c>
      <c r="G727" s="200">
        <f ca="1">'MATRIZ COMPLETO PROPOSTA'!H727</f>
        <v>4046538.1090825573</v>
      </c>
      <c r="H727" s="200"/>
      <c r="I727" s="200"/>
      <c r="J727" s="200"/>
      <c r="K727" s="200">
        <f t="shared" ca="1" si="39"/>
        <v>4046538.1090825573</v>
      </c>
      <c r="M727" s="200">
        <f>'MATRIZ COMPLETO PROPOSTA'!BD727+
 'MATRIZ COMPLETO PROPOSTA'!BA727+
 'MATRIZ COMPLETO PROPOSTA'!AX727+
 'MATRIZ COMPLETO PROPOSTA'!AS727+
 'MATRIZ COMPLETO PROPOSTA'!AM727</f>
        <v>1241583.138992033</v>
      </c>
      <c r="O727" s="200"/>
      <c r="Q727" s="240"/>
    </row>
    <row r="728" spans="2:17" x14ac:dyDescent="0.3">
      <c r="B728" s="235" t="s">
        <v>804</v>
      </c>
      <c r="C728" s="235" t="s">
        <v>813</v>
      </c>
      <c r="D728" s="235" t="s">
        <v>94</v>
      </c>
      <c r="E728" s="236"/>
      <c r="F728" s="236"/>
      <c r="G728" s="237">
        <f ca="1">'MATRIZ COMPLETO PROPOSTA'!H728</f>
        <v>2055205.9389640912</v>
      </c>
      <c r="H728" s="237"/>
      <c r="I728" s="237"/>
      <c r="J728" s="237"/>
      <c r="K728" s="237">
        <f t="shared" ca="1" si="39"/>
        <v>2055205.9389640912</v>
      </c>
      <c r="L728" s="236"/>
      <c r="M728" s="237">
        <f>'MATRIZ COMPLETO PROPOSTA'!BD728+
 'MATRIZ COMPLETO PROPOSTA'!BA728+
 'MATRIZ COMPLETO PROPOSTA'!AX728+
 'MATRIZ COMPLETO PROPOSTA'!AS728+
 'MATRIZ COMPLETO PROPOSTA'!AM728</f>
        <v>828943.77671178244</v>
      </c>
      <c r="N728" s="236"/>
      <c r="O728" s="237"/>
      <c r="P728" s="236"/>
      <c r="Q728" s="243"/>
    </row>
    <row r="729" spans="2:17" x14ac:dyDescent="0.3">
      <c r="B729" s="230" t="s">
        <v>804</v>
      </c>
      <c r="C729" s="230" t="s">
        <v>814</v>
      </c>
      <c r="D729" s="230" t="s">
        <v>94</v>
      </c>
      <c r="G729" s="200">
        <f ca="1">'MATRIZ COMPLETO PROPOSTA'!H729</f>
        <v>1962633.3401624267</v>
      </c>
      <c r="H729" s="200"/>
      <c r="I729" s="200"/>
      <c r="J729" s="200"/>
      <c r="K729" s="200">
        <f t="shared" ca="1" si="39"/>
        <v>1962633.3401624267</v>
      </c>
      <c r="M729" s="200">
        <f>'MATRIZ COMPLETO PROPOSTA'!BD729+
 'MATRIZ COMPLETO PROPOSTA'!BA729+
 'MATRIZ COMPLETO PROPOSTA'!AX729+
 'MATRIZ COMPLETO PROPOSTA'!AS729+
 'MATRIZ COMPLETO PROPOSTA'!AM729</f>
        <v>630642.88075799285</v>
      </c>
      <c r="O729" s="200"/>
      <c r="Q729" s="240"/>
    </row>
    <row r="730" spans="2:17" x14ac:dyDescent="0.3">
      <c r="B730" s="235" t="s">
        <v>804</v>
      </c>
      <c r="C730" s="235" t="s">
        <v>815</v>
      </c>
      <c r="D730" s="235" t="s">
        <v>94</v>
      </c>
      <c r="E730" s="236"/>
      <c r="F730" s="236"/>
      <c r="G730" s="237">
        <f ca="1">'MATRIZ COMPLETO PROPOSTA'!H730</f>
        <v>2597242.9940153514</v>
      </c>
      <c r="H730" s="237"/>
      <c r="I730" s="237"/>
      <c r="J730" s="237"/>
      <c r="K730" s="237">
        <f t="shared" ca="1" si="39"/>
        <v>2597242.9940153514</v>
      </c>
      <c r="L730" s="236"/>
      <c r="M730" s="237">
        <f>'MATRIZ COMPLETO PROPOSTA'!BD730+
 'MATRIZ COMPLETO PROPOSTA'!BA730+
 'MATRIZ COMPLETO PROPOSTA'!AX730+
 'MATRIZ COMPLETO PROPOSTA'!AS730+
 'MATRIZ COMPLETO PROPOSTA'!AM730</f>
        <v>885118.98338982533</v>
      </c>
      <c r="N730" s="236"/>
      <c r="O730" s="237"/>
      <c r="P730" s="236"/>
      <c r="Q730" s="243"/>
    </row>
    <row r="731" spans="2:17" x14ac:dyDescent="0.3">
      <c r="B731" s="230" t="s">
        <v>804</v>
      </c>
      <c r="C731" s="230" t="s">
        <v>816</v>
      </c>
      <c r="D731" s="230" t="s">
        <v>94</v>
      </c>
      <c r="G731" s="200">
        <f ca="1">'MATRIZ COMPLETO PROPOSTA'!H731</f>
        <v>1474045.3725398094</v>
      </c>
      <c r="H731" s="200"/>
      <c r="I731" s="200"/>
      <c r="J731" s="200"/>
      <c r="K731" s="200">
        <f t="shared" ca="1" si="39"/>
        <v>1474045.3725398094</v>
      </c>
      <c r="M731" s="200">
        <f>'MATRIZ COMPLETO PROPOSTA'!BD731+
 'MATRIZ COMPLETO PROPOSTA'!BA731+
 'MATRIZ COMPLETO PROPOSTA'!AX731+
 'MATRIZ COMPLETO PROPOSTA'!AS731+
 'MATRIZ COMPLETO PROPOSTA'!AM731</f>
        <v>536477.18308465055</v>
      </c>
      <c r="O731" s="200"/>
      <c r="Q731" s="240"/>
    </row>
    <row r="732" spans="2:17" x14ac:dyDescent="0.3">
      <c r="B732" s="235" t="s">
        <v>804</v>
      </c>
      <c r="C732" s="235" t="s">
        <v>817</v>
      </c>
      <c r="D732" s="235" t="s">
        <v>94</v>
      </c>
      <c r="E732" s="236"/>
      <c r="F732" s="236"/>
      <c r="G732" s="237">
        <f ca="1">'MATRIZ COMPLETO PROPOSTA'!H732</f>
        <v>1496438.2313338274</v>
      </c>
      <c r="H732" s="237"/>
      <c r="I732" s="237"/>
      <c r="J732" s="237"/>
      <c r="K732" s="237">
        <f t="shared" ca="1" si="39"/>
        <v>1496438.2313338274</v>
      </c>
      <c r="L732" s="236"/>
      <c r="M732" s="237">
        <f>'MATRIZ COMPLETO PROPOSTA'!BD732+
 'MATRIZ COMPLETO PROPOSTA'!BA732+
 'MATRIZ COMPLETO PROPOSTA'!AX732+
 'MATRIZ COMPLETO PROPOSTA'!AS732+
 'MATRIZ COMPLETO PROPOSTA'!AM732</f>
        <v>592165.50625448162</v>
      </c>
      <c r="N732" s="236"/>
      <c r="O732" s="237"/>
      <c r="P732" s="236"/>
      <c r="Q732" s="243"/>
    </row>
    <row r="733" spans="2:17" x14ac:dyDescent="0.3">
      <c r="B733" s="230" t="s">
        <v>804</v>
      </c>
      <c r="C733" s="230" t="s">
        <v>818</v>
      </c>
      <c r="D733" s="230" t="s">
        <v>94</v>
      </c>
      <c r="G733" s="200">
        <f ca="1">'MATRIZ COMPLETO PROPOSTA'!H733</f>
        <v>1723757.7518307054</v>
      </c>
      <c r="H733" s="200"/>
      <c r="I733" s="200"/>
      <c r="J733" s="200"/>
      <c r="K733" s="200">
        <f t="shared" ca="1" si="39"/>
        <v>1723757.7518307054</v>
      </c>
      <c r="M733" s="200">
        <f>'MATRIZ COMPLETO PROPOSTA'!BD733+
 'MATRIZ COMPLETO PROPOSTA'!BA733+
 'MATRIZ COMPLETO PROPOSTA'!AX733+
 'MATRIZ COMPLETO PROPOSTA'!AS733+
 'MATRIZ COMPLETO PROPOSTA'!AM733</f>
        <v>565821.18802929518</v>
      </c>
      <c r="O733" s="200"/>
      <c r="Q733" s="240"/>
    </row>
    <row r="734" spans="2:17" x14ac:dyDescent="0.3">
      <c r="B734" s="235" t="s">
        <v>804</v>
      </c>
      <c r="C734" s="235" t="s">
        <v>819</v>
      </c>
      <c r="D734" s="235" t="s">
        <v>94</v>
      </c>
      <c r="E734" s="236"/>
      <c r="F734" s="236"/>
      <c r="G734" s="237">
        <f ca="1">'MATRIZ COMPLETO PROPOSTA'!H734</f>
        <v>2164287.3107360024</v>
      </c>
      <c r="H734" s="237"/>
      <c r="I734" s="237"/>
      <c r="J734" s="237"/>
      <c r="K734" s="237">
        <f t="shared" ca="1" si="39"/>
        <v>2164287.3107360024</v>
      </c>
      <c r="L734" s="236"/>
      <c r="M734" s="237">
        <f>'MATRIZ COMPLETO PROPOSTA'!BD734+
 'MATRIZ COMPLETO PROPOSTA'!BA734+
 'MATRIZ COMPLETO PROPOSTA'!AX734+
 'MATRIZ COMPLETO PROPOSTA'!AS734+
 'MATRIZ COMPLETO PROPOSTA'!AM734</f>
        <v>189304.16976353878</v>
      </c>
      <c r="N734" s="236"/>
      <c r="O734" s="237"/>
      <c r="P734" s="236"/>
      <c r="Q734" s="243"/>
    </row>
    <row r="735" spans="2:17" x14ac:dyDescent="0.3">
      <c r="B735" s="230" t="s">
        <v>804</v>
      </c>
      <c r="C735" s="230" t="s">
        <v>820</v>
      </c>
      <c r="D735" s="230" t="s">
        <v>94</v>
      </c>
      <c r="G735" s="200">
        <f ca="1">'MATRIZ COMPLETO PROPOSTA'!H735</f>
        <v>1891993.9129428302</v>
      </c>
      <c r="H735" s="200"/>
      <c r="I735" s="200"/>
      <c r="J735" s="200"/>
      <c r="K735" s="200">
        <f t="shared" ca="1" si="39"/>
        <v>1891993.9129428302</v>
      </c>
      <c r="M735" s="200">
        <f>'MATRIZ COMPLETO PROPOSTA'!BD735+
 'MATRIZ COMPLETO PROPOSTA'!BA735+
 'MATRIZ COMPLETO PROPOSTA'!AX735+
 'MATRIZ COMPLETO PROPOSTA'!AS735+
 'MATRIZ COMPLETO PROPOSTA'!AM735</f>
        <v>653035.01490721782</v>
      </c>
      <c r="O735" s="200"/>
      <c r="Q735" s="240"/>
    </row>
    <row r="736" spans="2:17" x14ac:dyDescent="0.3">
      <c r="B736" s="235" t="s">
        <v>804</v>
      </c>
      <c r="C736" s="235" t="s">
        <v>821</v>
      </c>
      <c r="D736" s="235" t="s">
        <v>94</v>
      </c>
      <c r="E736" s="236"/>
      <c r="F736" s="236"/>
      <c r="G736" s="237">
        <f ca="1">'MATRIZ COMPLETO PROPOSTA'!H736</f>
        <v>2508315.8898213748</v>
      </c>
      <c r="H736" s="237"/>
      <c r="I736" s="237"/>
      <c r="J736" s="237"/>
      <c r="K736" s="237">
        <f t="shared" ca="1" si="39"/>
        <v>2508315.8898213748</v>
      </c>
      <c r="L736" s="236"/>
      <c r="M736" s="237">
        <f>'MATRIZ COMPLETO PROPOSTA'!BD736+
 'MATRIZ COMPLETO PROPOSTA'!BA736+
 'MATRIZ COMPLETO PROPOSTA'!AX736+
 'MATRIZ COMPLETO PROPOSTA'!AS736+
 'MATRIZ COMPLETO PROPOSTA'!AM736</f>
        <v>1077434.6438297241</v>
      </c>
      <c r="N736" s="236"/>
      <c r="O736" s="237"/>
      <c r="P736" s="236"/>
      <c r="Q736" s="243"/>
    </row>
    <row r="737" spans="2:17" x14ac:dyDescent="0.3">
      <c r="B737" s="230" t="s">
        <v>804</v>
      </c>
      <c r="C737" s="230" t="s">
        <v>822</v>
      </c>
      <c r="D737" s="230" t="s">
        <v>94</v>
      </c>
      <c r="G737" s="200">
        <f ca="1">'MATRIZ COMPLETO PROPOSTA'!H737</f>
        <v>2011197.8407673941</v>
      </c>
      <c r="H737" s="200"/>
      <c r="I737" s="200"/>
      <c r="J737" s="200"/>
      <c r="K737" s="200">
        <f t="shared" ca="1" si="39"/>
        <v>2011197.8407673941</v>
      </c>
      <c r="M737" s="200">
        <f>'MATRIZ COMPLETO PROPOSTA'!BD737+
 'MATRIZ COMPLETO PROPOSTA'!BA737+
 'MATRIZ COMPLETO PROPOSTA'!AX737+
 'MATRIZ COMPLETO PROPOSTA'!AS737+
 'MATRIZ COMPLETO PROPOSTA'!AM737</f>
        <v>708782.79946787597</v>
      </c>
      <c r="O737" s="200"/>
      <c r="Q737" s="240"/>
    </row>
    <row r="738" spans="2:17" x14ac:dyDescent="0.3">
      <c r="B738" s="235" t="s">
        <v>804</v>
      </c>
      <c r="C738" s="235" t="s">
        <v>823</v>
      </c>
      <c r="D738" s="235" t="s">
        <v>94</v>
      </c>
      <c r="E738" s="236"/>
      <c r="F738" s="236"/>
      <c r="G738" s="237">
        <f ca="1">'MATRIZ COMPLETO PROPOSTA'!H738</f>
        <v>2021035.8672513703</v>
      </c>
      <c r="H738" s="237"/>
      <c r="I738" s="237"/>
      <c r="J738" s="237"/>
      <c r="K738" s="237">
        <f t="shared" ca="1" si="39"/>
        <v>2021035.8672513703</v>
      </c>
      <c r="L738" s="236"/>
      <c r="M738" s="237">
        <f>'MATRIZ COMPLETO PROPOSTA'!BD738+
 'MATRIZ COMPLETO PROPOSTA'!BA738+
 'MATRIZ COMPLETO PROPOSTA'!AX738+
 'MATRIZ COMPLETO PROPOSTA'!AS738+
 'MATRIZ COMPLETO PROPOSTA'!AM738</f>
        <v>693215.28647717531</v>
      </c>
      <c r="N738" s="236"/>
      <c r="O738" s="237"/>
      <c r="P738" s="236"/>
      <c r="Q738" s="243"/>
    </row>
    <row r="739" spans="2:17" x14ac:dyDescent="0.3">
      <c r="B739" s="230" t="s">
        <v>804</v>
      </c>
      <c r="C739" s="230" t="s">
        <v>824</v>
      </c>
      <c r="D739" s="230" t="s">
        <v>94</v>
      </c>
      <c r="G739" s="200">
        <f ca="1">'MATRIZ COMPLETO PROPOSTA'!H739</f>
        <v>2255099.690869282</v>
      </c>
      <c r="H739" s="200"/>
      <c r="I739" s="200"/>
      <c r="J739" s="200"/>
      <c r="K739" s="200">
        <f t="shared" ca="1" si="39"/>
        <v>2255099.690869282</v>
      </c>
      <c r="M739" s="200">
        <f>'MATRIZ COMPLETO PROPOSTA'!BD739+
 'MATRIZ COMPLETO PROPOSTA'!BA739+
 'MATRIZ COMPLETO PROPOSTA'!AX739+
 'MATRIZ COMPLETO PROPOSTA'!AS739+
 'MATRIZ COMPLETO PROPOSTA'!AM739</f>
        <v>775282.35640665796</v>
      </c>
      <c r="O739" s="200"/>
      <c r="Q739" s="240"/>
    </row>
    <row r="740" spans="2:17" x14ac:dyDescent="0.3">
      <c r="B740" s="235" t="s">
        <v>804</v>
      </c>
      <c r="C740" s="235" t="s">
        <v>825</v>
      </c>
      <c r="D740" s="235" t="s">
        <v>94</v>
      </c>
      <c r="E740" s="236"/>
      <c r="F740" s="236"/>
      <c r="G740" s="237">
        <f ca="1">'MATRIZ COMPLETO PROPOSTA'!H740</f>
        <v>1338509.6174784556</v>
      </c>
      <c r="H740" s="237"/>
      <c r="I740" s="237"/>
      <c r="J740" s="237"/>
      <c r="K740" s="237">
        <f t="shared" ca="1" si="39"/>
        <v>1338509.6174784556</v>
      </c>
      <c r="L740" s="236"/>
      <c r="M740" s="237">
        <f>'MATRIZ COMPLETO PROPOSTA'!BD740+
 'MATRIZ COMPLETO PROPOSTA'!BA740+
 'MATRIZ COMPLETO PROPOSTA'!AX740+
 'MATRIZ COMPLETO PROPOSTA'!AS740+
 'MATRIZ COMPLETO PROPOSTA'!AM740</f>
        <v>432763.93099352467</v>
      </c>
      <c r="N740" s="236"/>
      <c r="O740" s="237"/>
      <c r="P740" s="236"/>
      <c r="Q740" s="243"/>
    </row>
    <row r="741" spans="2:17" x14ac:dyDescent="0.3">
      <c r="B741" s="230" t="s">
        <v>804</v>
      </c>
      <c r="C741" s="230" t="s">
        <v>826</v>
      </c>
      <c r="D741" s="230" t="s">
        <v>94</v>
      </c>
      <c r="G741" s="200">
        <f ca="1">'MATRIZ COMPLETO PROPOSTA'!H741</f>
        <v>1849811.5099423511</v>
      </c>
      <c r="H741" s="200"/>
      <c r="I741" s="200"/>
      <c r="J741" s="200"/>
      <c r="K741" s="200">
        <f t="shared" ca="1" si="39"/>
        <v>1849811.5099423511</v>
      </c>
      <c r="M741" s="200">
        <f>'MATRIZ COMPLETO PROPOSTA'!BD741+
 'MATRIZ COMPLETO PROPOSTA'!BA741+
 'MATRIZ COMPLETO PROPOSTA'!AX741+
 'MATRIZ COMPLETO PROPOSTA'!AS741+
 'MATRIZ COMPLETO PROPOSTA'!AM741</f>
        <v>814358.00120184477</v>
      </c>
      <c r="O741" s="200"/>
      <c r="Q741" s="240"/>
    </row>
    <row r="742" spans="2:17" x14ac:dyDescent="0.3">
      <c r="B742" s="235" t="s">
        <v>804</v>
      </c>
      <c r="C742" s="235" t="s">
        <v>827</v>
      </c>
      <c r="D742" s="235" t="s">
        <v>94</v>
      </c>
      <c r="E742" s="236"/>
      <c r="F742" s="236"/>
      <c r="G742" s="237">
        <f ca="1">'MATRIZ COMPLETO PROPOSTA'!H742</f>
        <v>2863415.471998313</v>
      </c>
      <c r="H742" s="237"/>
      <c r="I742" s="237"/>
      <c r="J742" s="237"/>
      <c r="K742" s="237">
        <f t="shared" ca="1" si="39"/>
        <v>2863415.471998313</v>
      </c>
      <c r="L742" s="236"/>
      <c r="M742" s="237">
        <f>'MATRIZ COMPLETO PROPOSTA'!BD742+
 'MATRIZ COMPLETO PROPOSTA'!BA742+
 'MATRIZ COMPLETO PROPOSTA'!AX742+
 'MATRIZ COMPLETO PROPOSTA'!AS742+
 'MATRIZ COMPLETO PROPOSTA'!AM742</f>
        <v>815275.76804694219</v>
      </c>
      <c r="N742" s="236"/>
      <c r="O742" s="237"/>
      <c r="P742" s="236"/>
      <c r="Q742" s="243"/>
    </row>
    <row r="743" spans="2:17" x14ac:dyDescent="0.3">
      <c r="B743" s="230" t="s">
        <v>804</v>
      </c>
      <c r="C743" s="230" t="s">
        <v>828</v>
      </c>
      <c r="D743" s="230" t="s">
        <v>94</v>
      </c>
      <c r="G743" s="200">
        <f ca="1">'MATRIZ COMPLETO PROPOSTA'!H743</f>
        <v>2542579.2453636173</v>
      </c>
      <c r="H743" s="200"/>
      <c r="I743" s="200"/>
      <c r="J743" s="200"/>
      <c r="K743" s="200">
        <f t="shared" ca="1" si="39"/>
        <v>2542579.2453636173</v>
      </c>
      <c r="M743" s="200">
        <f>'MATRIZ COMPLETO PROPOSTA'!BD743+
 'MATRIZ COMPLETO PROPOSTA'!BA743+
 'MATRIZ COMPLETO PROPOSTA'!AX743+
 'MATRIZ COMPLETO PROPOSTA'!AS743+
 'MATRIZ COMPLETO PROPOSTA'!AM743</f>
        <v>773376.25668524753</v>
      </c>
      <c r="O743" s="200"/>
      <c r="Q743" s="240"/>
    </row>
    <row r="744" spans="2:17" x14ac:dyDescent="0.3">
      <c r="B744" s="235" t="s">
        <v>804</v>
      </c>
      <c r="C744" s="235" t="s">
        <v>829</v>
      </c>
      <c r="D744" s="235" t="s">
        <v>94</v>
      </c>
      <c r="E744" s="236"/>
      <c r="F744" s="236"/>
      <c r="G744" s="237">
        <f ca="1">'MATRIZ COMPLETO PROPOSTA'!H744</f>
        <v>2070567.8559238482</v>
      </c>
      <c r="H744" s="237"/>
      <c r="I744" s="237"/>
      <c r="J744" s="237"/>
      <c r="K744" s="237">
        <f t="shared" ca="1" si="39"/>
        <v>2070567.8559238482</v>
      </c>
      <c r="L744" s="236"/>
      <c r="M744" s="237">
        <f>'MATRIZ COMPLETO PROPOSTA'!BD744+
 'MATRIZ COMPLETO PROPOSTA'!BA744+
 'MATRIZ COMPLETO PROPOSTA'!AX744+
 'MATRIZ COMPLETO PROPOSTA'!AS744+
 'MATRIZ COMPLETO PROPOSTA'!AM744</f>
        <v>821883.25580363418</v>
      </c>
      <c r="N744" s="236"/>
      <c r="O744" s="237"/>
      <c r="P744" s="236"/>
      <c r="Q744" s="243"/>
    </row>
    <row r="745" spans="2:17" x14ac:dyDescent="0.3">
      <c r="B745" s="230" t="s">
        <v>804</v>
      </c>
      <c r="C745" s="230" t="s">
        <v>830</v>
      </c>
      <c r="D745" s="230" t="s">
        <v>94</v>
      </c>
      <c r="G745" s="200">
        <f ca="1">'MATRIZ COMPLETO PROPOSTA'!H745</f>
        <v>2094074.7757699764</v>
      </c>
      <c r="H745" s="200"/>
      <c r="I745" s="200"/>
      <c r="J745" s="200"/>
      <c r="K745" s="200">
        <f t="shared" ca="1" si="39"/>
        <v>2094074.7757699764</v>
      </c>
      <c r="M745" s="200">
        <f>'MATRIZ COMPLETO PROPOSTA'!BD745+
 'MATRIZ COMPLETO PROPOSTA'!BA745+
 'MATRIZ COMPLETO PROPOSTA'!AX745+
 'MATRIZ COMPLETO PROPOSTA'!AS745+
 'MATRIZ COMPLETO PROPOSTA'!AM745</f>
        <v>770169.35174086189</v>
      </c>
      <c r="O745" s="200"/>
      <c r="Q745" s="240"/>
    </row>
    <row r="746" spans="2:17" x14ac:dyDescent="0.3">
      <c r="B746" s="235" t="s">
        <v>804</v>
      </c>
      <c r="C746" s="235" t="s">
        <v>831</v>
      </c>
      <c r="D746" s="235" t="s">
        <v>98</v>
      </c>
      <c r="E746" s="236"/>
      <c r="F746" s="236"/>
      <c r="G746" s="237">
        <f ca="1">'MATRIZ COMPLETO PROPOSTA'!H746</f>
        <v>700000</v>
      </c>
      <c r="H746" s="237"/>
      <c r="I746" s="237"/>
      <c r="J746" s="237"/>
      <c r="K746" s="237">
        <f t="shared" ca="1" si="39"/>
        <v>700000</v>
      </c>
      <c r="L746" s="236"/>
      <c r="M746" s="237">
        <f>'MATRIZ COMPLETO PROPOSTA'!BD746+
 'MATRIZ COMPLETO PROPOSTA'!BA746+
 'MATRIZ COMPLETO PROPOSTA'!AX746+
 'MATRIZ COMPLETO PROPOSTA'!AS746+
 'MATRIZ COMPLETO PROPOSTA'!AM746</f>
        <v>750.58822324382777</v>
      </c>
      <c r="N746" s="236"/>
      <c r="O746" s="237"/>
      <c r="P746" s="236"/>
      <c r="Q746" s="243"/>
    </row>
    <row r="747" spans="2:17" x14ac:dyDescent="0.3">
      <c r="B747" s="230" t="s">
        <v>804</v>
      </c>
      <c r="C747" s="230" t="s">
        <v>832</v>
      </c>
      <c r="D747" s="230" t="s">
        <v>94</v>
      </c>
      <c r="G747" s="200">
        <f ca="1">'MATRIZ COMPLETO PROPOSTA'!H747</f>
        <v>1890548.2350031058</v>
      </c>
      <c r="H747" s="200"/>
      <c r="I747" s="200"/>
      <c r="J747" s="200"/>
      <c r="K747" s="200">
        <f t="shared" ca="1" si="39"/>
        <v>1890548.2350031058</v>
      </c>
      <c r="M747" s="200">
        <f>'MATRIZ COMPLETO PROPOSTA'!BD747+
 'MATRIZ COMPLETO PROPOSTA'!BA747+
 'MATRIZ COMPLETO PROPOSTA'!AX747+
 'MATRIZ COMPLETO PROPOSTA'!AS747+
 'MATRIZ COMPLETO PROPOSTA'!AM747</f>
        <v>677213.79923187359</v>
      </c>
      <c r="O747" s="200"/>
      <c r="Q747" s="240"/>
    </row>
    <row r="748" spans="2:17" x14ac:dyDescent="0.3">
      <c r="B748" s="235" t="s">
        <v>804</v>
      </c>
      <c r="C748" s="235" t="s">
        <v>786</v>
      </c>
      <c r="D748" s="235" t="s">
        <v>94</v>
      </c>
      <c r="E748" s="236"/>
      <c r="F748" s="236"/>
      <c r="G748" s="237">
        <f ca="1">'MATRIZ COMPLETO PROPOSTA'!H748</f>
        <v>1914865.1462923989</v>
      </c>
      <c r="H748" s="237"/>
      <c r="I748" s="237"/>
      <c r="J748" s="237"/>
      <c r="K748" s="237">
        <f t="shared" ca="1" si="39"/>
        <v>1914865.1462923989</v>
      </c>
      <c r="L748" s="236"/>
      <c r="M748" s="237">
        <f>'MATRIZ COMPLETO PROPOSTA'!BD748+
 'MATRIZ COMPLETO PROPOSTA'!BA748+
 'MATRIZ COMPLETO PROPOSTA'!AX748+
 'MATRIZ COMPLETO PROPOSTA'!AS748+
 'MATRIZ COMPLETO PROPOSTA'!AM748</f>
        <v>569378.9982391611</v>
      </c>
      <c r="N748" s="236"/>
      <c r="O748" s="237"/>
      <c r="P748" s="236"/>
      <c r="Q748" s="243"/>
    </row>
    <row r="749" spans="2:17" x14ac:dyDescent="0.3">
      <c r="B749" s="230" t="s">
        <v>804</v>
      </c>
      <c r="C749" s="230" t="s">
        <v>833</v>
      </c>
      <c r="D749" s="230" t="s">
        <v>94</v>
      </c>
      <c r="G749" s="200">
        <f ca="1">'MATRIZ COMPLETO PROPOSTA'!H749</f>
        <v>1915137.2448559755</v>
      </c>
      <c r="H749" s="200"/>
      <c r="I749" s="200"/>
      <c r="J749" s="200"/>
      <c r="K749" s="200">
        <f t="shared" ca="1" si="39"/>
        <v>1915137.2448559755</v>
      </c>
      <c r="M749" s="200">
        <f>'MATRIZ COMPLETO PROPOSTA'!BD749+
 'MATRIZ COMPLETO PROPOSTA'!BA749+
 'MATRIZ COMPLETO PROPOSTA'!AX749+
 'MATRIZ COMPLETO PROPOSTA'!AS749+
 'MATRIZ COMPLETO PROPOSTA'!AM749</f>
        <v>741007.06416118983</v>
      </c>
      <c r="O749" s="200"/>
      <c r="Q749" s="240"/>
    </row>
    <row r="750" spans="2:17" x14ac:dyDescent="0.3">
      <c r="B750" s="235" t="s">
        <v>804</v>
      </c>
      <c r="C750" s="235" t="s">
        <v>834</v>
      </c>
      <c r="D750" s="235" t="s">
        <v>94</v>
      </c>
      <c r="E750" s="236"/>
      <c r="F750" s="236"/>
      <c r="G750" s="237">
        <f ca="1">'MATRIZ COMPLETO PROPOSTA'!H750</f>
        <v>9603.1467470726038</v>
      </c>
      <c r="H750" s="237"/>
      <c r="I750" s="237"/>
      <c r="J750" s="237"/>
      <c r="K750" s="237">
        <f t="shared" ca="1" si="39"/>
        <v>9603.1467470726038</v>
      </c>
      <c r="L750" s="236"/>
      <c r="M750" s="237">
        <f>'MATRIZ COMPLETO PROPOSTA'!BD750+
 'MATRIZ COMPLETO PROPOSTA'!BA750+
 'MATRIZ COMPLETO PROPOSTA'!AX750+
 'MATRIZ COMPLETO PROPOSTA'!AS750+
 'MATRIZ COMPLETO PROPOSTA'!AM750</f>
        <v>1557.1997931015164</v>
      </c>
      <c r="N750" s="236"/>
      <c r="O750" s="237"/>
      <c r="P750" s="236"/>
      <c r="Q750" s="243"/>
    </row>
    <row r="751" spans="2:17" x14ac:dyDescent="0.3">
      <c r="B751" s="230" t="s">
        <v>804</v>
      </c>
      <c r="C751" s="230" t="s">
        <v>835</v>
      </c>
      <c r="D751" s="230" t="s">
        <v>94</v>
      </c>
      <c r="G751" s="200">
        <f ca="1">'MATRIZ COMPLETO PROPOSTA'!H751</f>
        <v>2869228.1543128188</v>
      </c>
      <c r="H751" s="200"/>
      <c r="I751" s="200"/>
      <c r="J751" s="200"/>
      <c r="K751" s="200">
        <f t="shared" ca="1" si="39"/>
        <v>2869228.1543128188</v>
      </c>
      <c r="M751" s="200">
        <f>'MATRIZ COMPLETO PROPOSTA'!BD751+
 'MATRIZ COMPLETO PROPOSTA'!BA751+
 'MATRIZ COMPLETO PROPOSTA'!AX751+
 'MATRIZ COMPLETO PROPOSTA'!AS751+
 'MATRIZ COMPLETO PROPOSTA'!AM751</f>
        <v>900259.12981856766</v>
      </c>
      <c r="O751" s="200"/>
      <c r="Q751" s="240"/>
    </row>
    <row r="752" spans="2:17" x14ac:dyDescent="0.3">
      <c r="B752" s="235" t="s">
        <v>804</v>
      </c>
      <c r="C752" s="235" t="s">
        <v>836</v>
      </c>
      <c r="D752" s="235" t="s">
        <v>94</v>
      </c>
      <c r="E752" s="236"/>
      <c r="F752" s="236"/>
      <c r="G752" s="237">
        <f ca="1">'MATRIZ COMPLETO PROPOSTA'!H752</f>
        <v>11221983.249406409</v>
      </c>
      <c r="H752" s="237"/>
      <c r="I752" s="237"/>
      <c r="J752" s="237"/>
      <c r="K752" s="237">
        <f t="shared" ca="1" si="39"/>
        <v>11221983.249406409</v>
      </c>
      <c r="L752" s="236"/>
      <c r="M752" s="237">
        <f>'MATRIZ COMPLETO PROPOSTA'!BD752+
 'MATRIZ COMPLETO PROPOSTA'!BA752+
 'MATRIZ COMPLETO PROPOSTA'!AX752+
 'MATRIZ COMPLETO PROPOSTA'!AS752+
 'MATRIZ COMPLETO PROPOSTA'!AM752</f>
        <v>3527273.8789796042</v>
      </c>
      <c r="N752" s="236"/>
      <c r="O752" s="237"/>
      <c r="P752" s="236"/>
      <c r="Q752" s="243"/>
    </row>
    <row r="753" spans="2:17" x14ac:dyDescent="0.3">
      <c r="B753" s="230" t="s">
        <v>804</v>
      </c>
      <c r="C753" s="230" t="s">
        <v>837</v>
      </c>
      <c r="D753" s="230" t="s">
        <v>94</v>
      </c>
      <c r="G753" s="200">
        <f ca="1">'MATRIZ COMPLETO PROPOSTA'!H753</f>
        <v>1735318.1165909809</v>
      </c>
      <c r="H753" s="200"/>
      <c r="I753" s="200"/>
      <c r="J753" s="200"/>
      <c r="K753" s="200">
        <f t="shared" ca="1" si="39"/>
        <v>1735318.1165909809</v>
      </c>
      <c r="M753" s="200">
        <f>'MATRIZ COMPLETO PROPOSTA'!BD753+
 'MATRIZ COMPLETO PROPOSTA'!BA753+
 'MATRIZ COMPLETO PROPOSTA'!AX753+
 'MATRIZ COMPLETO PROPOSTA'!AS753+
 'MATRIZ COMPLETO PROPOSTA'!AM753</f>
        <v>771561.34380984469</v>
      </c>
      <c r="O753" s="200"/>
      <c r="Q753" s="240"/>
    </row>
    <row r="754" spans="2:17" x14ac:dyDescent="0.3">
      <c r="B754" s="235" t="s">
        <v>804</v>
      </c>
      <c r="C754" s="235" t="s">
        <v>838</v>
      </c>
      <c r="D754" s="235" t="s">
        <v>94</v>
      </c>
      <c r="E754" s="236"/>
      <c r="F754" s="236"/>
      <c r="G754" s="237">
        <f ca="1">'MATRIZ COMPLETO PROPOSTA'!H754</f>
        <v>1977450.9349816556</v>
      </c>
      <c r="H754" s="237"/>
      <c r="I754" s="237"/>
      <c r="J754" s="237"/>
      <c r="K754" s="237">
        <f t="shared" ca="1" si="39"/>
        <v>1977450.9349816556</v>
      </c>
      <c r="L754" s="236"/>
      <c r="M754" s="237">
        <f>'MATRIZ COMPLETO PROPOSTA'!BD754+
 'MATRIZ COMPLETO PROPOSTA'!BA754+
 'MATRIZ COMPLETO PROPOSTA'!AX754+
 'MATRIZ COMPLETO PROPOSTA'!AS754+
 'MATRIZ COMPLETO PROPOSTA'!AM754</f>
        <v>773785.3905283818</v>
      </c>
      <c r="N754" s="236"/>
      <c r="O754" s="237"/>
      <c r="P754" s="236"/>
      <c r="Q754" s="243"/>
    </row>
    <row r="755" spans="2:17" x14ac:dyDescent="0.3">
      <c r="B755" s="230" t="s">
        <v>804</v>
      </c>
      <c r="C755" s="230" t="s">
        <v>839</v>
      </c>
      <c r="D755" s="230" t="s">
        <v>94</v>
      </c>
      <c r="G755" s="200">
        <f ca="1">'MATRIZ COMPLETO PROPOSTA'!H755</f>
        <v>2758077.5189903928</v>
      </c>
      <c r="H755" s="200"/>
      <c r="I755" s="200"/>
      <c r="J755" s="200"/>
      <c r="K755" s="200">
        <f t="shared" ca="1" si="39"/>
        <v>2758077.5189903928</v>
      </c>
      <c r="M755" s="200">
        <f>'MATRIZ COMPLETO PROPOSTA'!BD755+
 'MATRIZ COMPLETO PROPOSTA'!BA755+
 'MATRIZ COMPLETO PROPOSTA'!AX755+
 'MATRIZ COMPLETO PROPOSTA'!AS755+
 'MATRIZ COMPLETO PROPOSTA'!AM755</f>
        <v>875029.9264386649</v>
      </c>
      <c r="O755" s="200"/>
      <c r="Q755" s="240"/>
    </row>
    <row r="756" spans="2:17" x14ac:dyDescent="0.3">
      <c r="B756" s="235" t="s">
        <v>804</v>
      </c>
      <c r="C756" s="235" t="s">
        <v>840</v>
      </c>
      <c r="D756" s="235" t="s">
        <v>94</v>
      </c>
      <c r="E756" s="236"/>
      <c r="F756" s="236"/>
      <c r="G756" s="237">
        <f ca="1">'MATRIZ COMPLETO PROPOSTA'!H756</f>
        <v>1319770.1359559353</v>
      </c>
      <c r="H756" s="237"/>
      <c r="I756" s="237"/>
      <c r="J756" s="237"/>
      <c r="K756" s="237">
        <f t="shared" ca="1" si="39"/>
        <v>1319770.1359559353</v>
      </c>
      <c r="L756" s="236"/>
      <c r="M756" s="237">
        <f>'MATRIZ COMPLETO PROPOSTA'!BD756+
 'MATRIZ COMPLETO PROPOSTA'!BA756+
 'MATRIZ COMPLETO PROPOSTA'!AX756+
 'MATRIZ COMPLETO PROPOSTA'!AS756+
 'MATRIZ COMPLETO PROPOSTA'!AM756</f>
        <v>542541.33232395269</v>
      </c>
      <c r="N756" s="236"/>
      <c r="O756" s="237"/>
      <c r="P756" s="236"/>
      <c r="Q756" s="243"/>
    </row>
    <row r="757" spans="2:17" x14ac:dyDescent="0.3">
      <c r="B757" s="230" t="s">
        <v>804</v>
      </c>
      <c r="C757" s="230" t="s">
        <v>841</v>
      </c>
      <c r="D757" s="230" t="s">
        <v>94</v>
      </c>
      <c r="G757" s="200">
        <f ca="1">'MATRIZ COMPLETO PROPOSTA'!H757</f>
        <v>2513950.2648240887</v>
      </c>
      <c r="H757" s="200"/>
      <c r="I757" s="200"/>
      <c r="J757" s="200"/>
      <c r="K757" s="200">
        <f t="shared" ca="1" si="39"/>
        <v>2513950.2648240887</v>
      </c>
      <c r="M757" s="200">
        <f>'MATRIZ COMPLETO PROPOSTA'!BD757+
 'MATRIZ COMPLETO PROPOSTA'!BA757+
 'MATRIZ COMPLETO PROPOSTA'!AX757+
 'MATRIZ COMPLETO PROPOSTA'!AS757+
 'MATRIZ COMPLETO PROPOSTA'!AM757</f>
        <v>546549.76520092494</v>
      </c>
      <c r="O757" s="200"/>
      <c r="Q757" s="240"/>
    </row>
    <row r="758" spans="2:17" x14ac:dyDescent="0.3">
      <c r="B758" s="235" t="s">
        <v>804</v>
      </c>
      <c r="C758" s="235" t="s">
        <v>842</v>
      </c>
      <c r="D758" s="235" t="s">
        <v>94</v>
      </c>
      <c r="E758" s="236"/>
      <c r="F758" s="236"/>
      <c r="G758" s="237">
        <f ca="1">'MATRIZ COMPLETO PROPOSTA'!H758</f>
        <v>2306268.7957296767</v>
      </c>
      <c r="H758" s="237"/>
      <c r="I758" s="237"/>
      <c r="J758" s="237"/>
      <c r="K758" s="237">
        <f t="shared" ca="1" si="39"/>
        <v>2306268.7957296767</v>
      </c>
      <c r="L758" s="236"/>
      <c r="M758" s="237">
        <f>'MATRIZ COMPLETO PROPOSTA'!BD758+
 'MATRIZ COMPLETO PROPOSTA'!BA758+
 'MATRIZ COMPLETO PROPOSTA'!AX758+
 'MATRIZ COMPLETO PROPOSTA'!AS758+
 'MATRIZ COMPLETO PROPOSTA'!AM758</f>
        <v>765646.07815446844</v>
      </c>
      <c r="N758" s="236"/>
      <c r="O758" s="237"/>
      <c r="P758" s="236"/>
      <c r="Q758" s="243"/>
    </row>
    <row r="759" spans="2:17" x14ac:dyDescent="0.3">
      <c r="G759" s="200"/>
      <c r="H759" s="200"/>
      <c r="I759" s="200"/>
      <c r="J759" s="200"/>
      <c r="K759" s="200"/>
      <c r="M759" s="200"/>
      <c r="O759" s="200"/>
      <c r="Q759" s="240"/>
    </row>
    <row r="760" spans="2:17" x14ac:dyDescent="0.3">
      <c r="B760" s="231" t="s">
        <v>843</v>
      </c>
      <c r="C760" s="231" t="s">
        <v>844</v>
      </c>
      <c r="D760" s="232" t="s">
        <v>154</v>
      </c>
      <c r="E760" s="232"/>
      <c r="F760" s="232"/>
      <c r="G760" s="238">
        <f ca="1">SUM(G761:G773)</f>
        <v>30265195.838753384</v>
      </c>
      <c r="H760" s="238">
        <f>'MATRIZ COMPLETO PROPOSTA'!Y760</f>
        <v>304772.96953085851</v>
      </c>
      <c r="I760" s="238">
        <f>'MATRIZ COMPLETO PROPOSTA'!AA760</f>
        <v>1386764.5386329156</v>
      </c>
      <c r="J760" s="238">
        <f>'MATRIZ COMPLETO PROPOSTA'!AC760</f>
        <v>1366789.4850247672</v>
      </c>
      <c r="K760" s="238">
        <f ca="1">SUM(G760:J760)</f>
        <v>33323522.831941925</v>
      </c>
      <c r="L760" s="232"/>
      <c r="M760" s="238">
        <f>SUM(M761:M773)</f>
        <v>8765128.7515325118</v>
      </c>
      <c r="N760" s="232"/>
      <c r="O760" s="238">
        <f ca="1">K760*'DADOS BASE'!$I$22</f>
        <v>49985.284247912889</v>
      </c>
      <c r="P760" s="232"/>
      <c r="Q760" s="241">
        <f ca="1">SUM(H760:J760)/K760</f>
        <v>9.1776821094587666E-2</v>
      </c>
    </row>
    <row r="761" spans="2:17" x14ac:dyDescent="0.3">
      <c r="B761" s="233" t="s">
        <v>843</v>
      </c>
      <c r="C761" s="234" t="s">
        <v>156</v>
      </c>
      <c r="D761" s="234" t="s">
        <v>157</v>
      </c>
      <c r="E761" s="234"/>
      <c r="F761" s="234"/>
      <c r="G761" s="239">
        <f>('MATRIZ COMPLETO PROPOSTA'!L760+
  'MATRIZ COMPLETO PROPOSTA'!P760*0.25+
  'MATRIZ COMPLETO PROPOSTA'!S760*0.8)
 /
 ('MATRIZ COMPLETO PROPOSTA'!L11+
  'MATRIZ COMPLETO PROPOSTA'!P11*0.25+
  'MATRIZ COMPLETO PROPOSTA'!S11*0.8)
 *
 'DADOS BASE'!$J$93</f>
        <v>3362799.5376392654</v>
      </c>
      <c r="H761" s="239"/>
      <c r="I761" s="239"/>
      <c r="J761" s="239"/>
      <c r="K761" s="239">
        <f t="shared" ref="K761:K773" si="40">J761+I761+H761+G761</f>
        <v>3362799.5376392654</v>
      </c>
      <c r="L761" s="234"/>
      <c r="M761" s="239">
        <f>'MATRIZ COMPLETO PROPOSTA'!BD761+
 'MATRIZ COMPLETO PROPOSTA'!BA761+
 'MATRIZ COMPLETO PROPOSTA'!AX761+
 'MATRIZ COMPLETO PROPOSTA'!AS761+
 'MATRIZ COMPLETO PROPOSTA'!AM761</f>
        <v>0</v>
      </c>
      <c r="N761" s="234"/>
      <c r="O761" s="239"/>
      <c r="P761" s="234"/>
      <c r="Q761" s="242"/>
    </row>
    <row r="762" spans="2:17" x14ac:dyDescent="0.3">
      <c r="B762" s="235" t="s">
        <v>843</v>
      </c>
      <c r="C762" s="235" t="s">
        <v>845</v>
      </c>
      <c r="D762" s="235" t="s">
        <v>94</v>
      </c>
      <c r="E762" s="236"/>
      <c r="F762" s="236"/>
      <c r="G762" s="237">
        <f ca="1">'MATRIZ COMPLETO PROPOSTA'!H762</f>
        <v>1575793.4312300482</v>
      </c>
      <c r="H762" s="237"/>
      <c r="I762" s="237"/>
      <c r="J762" s="237"/>
      <c r="K762" s="237">
        <f t="shared" ca="1" si="40"/>
        <v>1575793.4312300482</v>
      </c>
      <c r="L762" s="236"/>
      <c r="M762" s="237">
        <f>'MATRIZ COMPLETO PROPOSTA'!BD762+
 'MATRIZ COMPLETO PROPOSTA'!BA762+
 'MATRIZ COMPLETO PROPOSTA'!AX762+
 'MATRIZ COMPLETO PROPOSTA'!AS762+
 'MATRIZ COMPLETO PROPOSTA'!AM762</f>
        <v>671645.30076228781</v>
      </c>
      <c r="N762" s="236"/>
      <c r="O762" s="237"/>
      <c r="P762" s="236"/>
      <c r="Q762" s="243"/>
    </row>
    <row r="763" spans="2:17" x14ac:dyDescent="0.3">
      <c r="B763" s="230" t="s">
        <v>843</v>
      </c>
      <c r="C763" s="230" t="s">
        <v>846</v>
      </c>
      <c r="D763" s="230" t="s">
        <v>92</v>
      </c>
      <c r="G763" s="200">
        <f ca="1">'MATRIZ COMPLETO PROPOSTA'!H763</f>
        <v>4540788.8076169696</v>
      </c>
      <c r="H763" s="200"/>
      <c r="I763" s="200"/>
      <c r="J763" s="200"/>
      <c r="K763" s="200">
        <f t="shared" ca="1" si="40"/>
        <v>4540788.8076169696</v>
      </c>
      <c r="M763" s="200">
        <f>'MATRIZ COMPLETO PROPOSTA'!BD763+
 'MATRIZ COMPLETO PROPOSTA'!BA763+
 'MATRIZ COMPLETO PROPOSTA'!AX763+
 'MATRIZ COMPLETO PROPOSTA'!AS763+
 'MATRIZ COMPLETO PROPOSTA'!AM763</f>
        <v>1496331.6804403551</v>
      </c>
      <c r="O763" s="200"/>
      <c r="Q763" s="240"/>
    </row>
    <row r="764" spans="2:17" x14ac:dyDescent="0.3">
      <c r="B764" s="235" t="s">
        <v>843</v>
      </c>
      <c r="C764" s="235" t="s">
        <v>847</v>
      </c>
      <c r="D764" s="235" t="s">
        <v>96</v>
      </c>
      <c r="E764" s="236"/>
      <c r="F764" s="236"/>
      <c r="G764" s="237">
        <f ca="1">'MATRIZ COMPLETO PROPOSTA'!H764</f>
        <v>567185.03366844682</v>
      </c>
      <c r="H764" s="237"/>
      <c r="I764" s="237"/>
      <c r="J764" s="237"/>
      <c r="K764" s="237">
        <f t="shared" ca="1" si="40"/>
        <v>567185.03366844682</v>
      </c>
      <c r="L764" s="236"/>
      <c r="M764" s="237">
        <f>'MATRIZ COMPLETO PROPOSTA'!BD764+
 'MATRIZ COMPLETO PROPOSTA'!BA764+
 'MATRIZ COMPLETO PROPOSTA'!AX764+
 'MATRIZ COMPLETO PROPOSTA'!AS764+
 'MATRIZ COMPLETO PROPOSTA'!AM764</f>
        <v>161314.86063858587</v>
      </c>
      <c r="N764" s="236"/>
      <c r="O764" s="237"/>
      <c r="P764" s="236"/>
      <c r="Q764" s="243"/>
    </row>
    <row r="765" spans="2:17" x14ac:dyDescent="0.3">
      <c r="B765" s="230" t="s">
        <v>843</v>
      </c>
      <c r="C765" s="230" t="s">
        <v>848</v>
      </c>
      <c r="D765" s="230" t="s">
        <v>92</v>
      </c>
      <c r="G765" s="200">
        <f ca="1">'MATRIZ COMPLETO PROPOSTA'!H765</f>
        <v>816221.28244200919</v>
      </c>
      <c r="H765" s="200"/>
      <c r="I765" s="200"/>
      <c r="J765" s="200"/>
      <c r="K765" s="200">
        <f t="shared" ca="1" si="40"/>
        <v>816221.28244200919</v>
      </c>
      <c r="M765" s="200">
        <f>'MATRIZ COMPLETO PROPOSTA'!BD765+
 'MATRIZ COMPLETO PROPOSTA'!BA765+
 'MATRIZ COMPLETO PROPOSTA'!AX765+
 'MATRIZ COMPLETO PROPOSTA'!AS765+
 'MATRIZ COMPLETO PROPOSTA'!AM765</f>
        <v>188194.50678173717</v>
      </c>
      <c r="O765" s="200"/>
      <c r="Q765" s="240"/>
    </row>
    <row r="766" spans="2:17" x14ac:dyDescent="0.3">
      <c r="B766" s="235" t="s">
        <v>843</v>
      </c>
      <c r="C766" s="235" t="s">
        <v>849</v>
      </c>
      <c r="D766" s="235" t="s">
        <v>96</v>
      </c>
      <c r="E766" s="236"/>
      <c r="F766" s="236"/>
      <c r="G766" s="237">
        <f ca="1">'MATRIZ COMPLETO PROPOSTA'!H766</f>
        <v>759415.60050105304</v>
      </c>
      <c r="H766" s="237"/>
      <c r="I766" s="237"/>
      <c r="J766" s="237"/>
      <c r="K766" s="237">
        <f t="shared" ca="1" si="40"/>
        <v>759415.60050105304</v>
      </c>
      <c r="L766" s="236"/>
      <c r="M766" s="237">
        <f>'MATRIZ COMPLETO PROPOSTA'!BD766+
 'MATRIZ COMPLETO PROPOSTA'!BA766+
 'MATRIZ COMPLETO PROPOSTA'!AX766+
 'MATRIZ COMPLETO PROPOSTA'!AS766+
 'MATRIZ COMPLETO PROPOSTA'!AM766</f>
        <v>170997.56980306021</v>
      </c>
      <c r="N766" s="236"/>
      <c r="O766" s="237"/>
      <c r="P766" s="236"/>
      <c r="Q766" s="243"/>
    </row>
    <row r="767" spans="2:17" x14ac:dyDescent="0.3">
      <c r="B767" s="230" t="s">
        <v>843</v>
      </c>
      <c r="C767" s="230" t="s">
        <v>850</v>
      </c>
      <c r="D767" s="230" t="s">
        <v>92</v>
      </c>
      <c r="G767" s="200">
        <f ca="1">'MATRIZ COMPLETO PROPOSTA'!H767</f>
        <v>1810569.9946283726</v>
      </c>
      <c r="H767" s="200"/>
      <c r="I767" s="200"/>
      <c r="J767" s="200"/>
      <c r="K767" s="200">
        <f t="shared" ca="1" si="40"/>
        <v>1810569.9946283726</v>
      </c>
      <c r="M767" s="200">
        <f>'MATRIZ COMPLETO PROPOSTA'!BD767+
 'MATRIZ COMPLETO PROPOSTA'!BA767+
 'MATRIZ COMPLETO PROPOSTA'!AX767+
 'MATRIZ COMPLETO PROPOSTA'!AS767+
 'MATRIZ COMPLETO PROPOSTA'!AM767</f>
        <v>498801.22831003065</v>
      </c>
      <c r="O767" s="200"/>
      <c r="Q767" s="240"/>
    </row>
    <row r="768" spans="2:17" x14ac:dyDescent="0.3">
      <c r="B768" s="235" t="s">
        <v>843</v>
      </c>
      <c r="C768" s="235" t="s">
        <v>851</v>
      </c>
      <c r="D768" s="235" t="s">
        <v>92</v>
      </c>
      <c r="E768" s="236"/>
      <c r="F768" s="236"/>
      <c r="G768" s="237">
        <f ca="1">'MATRIZ COMPLETO PROPOSTA'!H768</f>
        <v>1945965.5849177693</v>
      </c>
      <c r="H768" s="237"/>
      <c r="I768" s="237"/>
      <c r="J768" s="237"/>
      <c r="K768" s="237">
        <f t="shared" ca="1" si="40"/>
        <v>1945965.5849177693</v>
      </c>
      <c r="L768" s="236"/>
      <c r="M768" s="237">
        <f>'MATRIZ COMPLETO PROPOSTA'!BD768+
 'MATRIZ COMPLETO PROPOSTA'!BA768+
 'MATRIZ COMPLETO PROPOSTA'!AX768+
 'MATRIZ COMPLETO PROPOSTA'!AS768+
 'MATRIZ COMPLETO PROPOSTA'!AM768</f>
        <v>561927.45838929655</v>
      </c>
      <c r="N768" s="236"/>
      <c r="O768" s="237"/>
      <c r="P768" s="236"/>
      <c r="Q768" s="243"/>
    </row>
    <row r="769" spans="2:17" x14ac:dyDescent="0.3">
      <c r="B769" s="230" t="s">
        <v>843</v>
      </c>
      <c r="C769" s="230" t="s">
        <v>852</v>
      </c>
      <c r="D769" s="230" t="s">
        <v>94</v>
      </c>
      <c r="G769" s="200">
        <f ca="1">'MATRIZ COMPLETO PROPOSTA'!H769</f>
        <v>1806479.0526726977</v>
      </c>
      <c r="H769" s="200"/>
      <c r="I769" s="200"/>
      <c r="J769" s="200"/>
      <c r="K769" s="200">
        <f t="shared" ca="1" si="40"/>
        <v>1806479.0526726977</v>
      </c>
      <c r="M769" s="200">
        <f>'MATRIZ COMPLETO PROPOSTA'!BD769+
 'MATRIZ COMPLETO PROPOSTA'!BA769+
 'MATRIZ COMPLETO PROPOSTA'!AX769+
 'MATRIZ COMPLETO PROPOSTA'!AS769+
 'MATRIZ COMPLETO PROPOSTA'!AM769</f>
        <v>621493.40783385059</v>
      </c>
      <c r="O769" s="200"/>
      <c r="Q769" s="240"/>
    </row>
    <row r="770" spans="2:17" x14ac:dyDescent="0.3">
      <c r="B770" s="235" t="s">
        <v>843</v>
      </c>
      <c r="C770" s="235" t="s">
        <v>600</v>
      </c>
      <c r="D770" s="235" t="s">
        <v>94</v>
      </c>
      <c r="E770" s="236"/>
      <c r="F770" s="236"/>
      <c r="G770" s="237">
        <f ca="1">'MATRIZ COMPLETO PROPOSTA'!H770</f>
        <v>7424018.6967978794</v>
      </c>
      <c r="H770" s="237"/>
      <c r="I770" s="237"/>
      <c r="J770" s="237"/>
      <c r="K770" s="237">
        <f t="shared" ca="1" si="40"/>
        <v>7424018.6967978794</v>
      </c>
      <c r="L770" s="236"/>
      <c r="M770" s="237">
        <f>'MATRIZ COMPLETO PROPOSTA'!BD770+
 'MATRIZ COMPLETO PROPOSTA'!BA770+
 'MATRIZ COMPLETO PROPOSTA'!AX770+
 'MATRIZ COMPLETO PROPOSTA'!AS770+
 'MATRIZ COMPLETO PROPOSTA'!AM770</f>
        <v>2493883.3436388993</v>
      </c>
      <c r="N770" s="236"/>
      <c r="O770" s="237"/>
      <c r="P770" s="236"/>
      <c r="Q770" s="243"/>
    </row>
    <row r="771" spans="2:17" x14ac:dyDescent="0.3">
      <c r="B771" s="230" t="s">
        <v>843</v>
      </c>
      <c r="C771" s="230" t="s">
        <v>853</v>
      </c>
      <c r="D771" s="230" t="s">
        <v>92</v>
      </c>
      <c r="G771" s="200">
        <f ca="1">'MATRIZ COMPLETO PROPOSTA'!H771</f>
        <v>1957077.2813456971</v>
      </c>
      <c r="H771" s="200"/>
      <c r="I771" s="200"/>
      <c r="J771" s="200"/>
      <c r="K771" s="200">
        <f t="shared" ca="1" si="40"/>
        <v>1957077.2813456971</v>
      </c>
      <c r="M771" s="200">
        <f>'MATRIZ COMPLETO PROPOSTA'!BD771+
 'MATRIZ COMPLETO PROPOSTA'!BA771+
 'MATRIZ COMPLETO PROPOSTA'!AX771+
 'MATRIZ COMPLETO PROPOSTA'!AS771+
 'MATRIZ COMPLETO PROPOSTA'!AM771</f>
        <v>791427.21143405954</v>
      </c>
      <c r="O771" s="200"/>
      <c r="Q771" s="240"/>
    </row>
    <row r="772" spans="2:17" x14ac:dyDescent="0.3">
      <c r="B772" s="235" t="s">
        <v>843</v>
      </c>
      <c r="C772" s="235" t="s">
        <v>854</v>
      </c>
      <c r="D772" s="235" t="s">
        <v>94</v>
      </c>
      <c r="E772" s="236"/>
      <c r="F772" s="236"/>
      <c r="G772" s="237">
        <f ca="1">'MATRIZ COMPLETO PROPOSTA'!H772</f>
        <v>1478355.6268022896</v>
      </c>
      <c r="H772" s="237"/>
      <c r="I772" s="237"/>
      <c r="J772" s="237"/>
      <c r="K772" s="237">
        <f t="shared" ca="1" si="40"/>
        <v>1478355.6268022896</v>
      </c>
      <c r="L772" s="236"/>
      <c r="M772" s="237">
        <f>'MATRIZ COMPLETO PROPOSTA'!BD772+
 'MATRIZ COMPLETO PROPOSTA'!BA772+
 'MATRIZ COMPLETO PROPOSTA'!AX772+
 'MATRIZ COMPLETO PROPOSTA'!AS772+
 'MATRIZ COMPLETO PROPOSTA'!AM772</f>
        <v>692476.6121618147</v>
      </c>
      <c r="N772" s="236"/>
      <c r="O772" s="237"/>
      <c r="P772" s="236"/>
      <c r="Q772" s="243"/>
    </row>
    <row r="773" spans="2:17" x14ac:dyDescent="0.3">
      <c r="B773" s="230" t="s">
        <v>843</v>
      </c>
      <c r="C773" s="230" t="s">
        <v>425</v>
      </c>
      <c r="D773" s="230" t="s">
        <v>209</v>
      </c>
      <c r="G773" s="200">
        <f ca="1">'MATRIZ COMPLETO PROPOSTA'!H773</f>
        <v>2220525.9084908864</v>
      </c>
      <c r="H773" s="200"/>
      <c r="I773" s="200"/>
      <c r="J773" s="200"/>
      <c r="K773" s="200">
        <f t="shared" ca="1" si="40"/>
        <v>2220525.9084908864</v>
      </c>
      <c r="M773" s="200">
        <f>'MATRIZ COMPLETO PROPOSTA'!BD773+
 'MATRIZ COMPLETO PROPOSTA'!BA773+
 'MATRIZ COMPLETO PROPOSTA'!AX773+
 'MATRIZ COMPLETO PROPOSTA'!AS773+
 'MATRIZ COMPLETO PROPOSTA'!AM773</f>
        <v>416635.57133853389</v>
      </c>
      <c r="O773" s="200"/>
      <c r="Q773" s="240"/>
    </row>
    <row r="774" spans="2:17" x14ac:dyDescent="0.3">
      <c r="G774" s="200"/>
      <c r="H774" s="200"/>
      <c r="I774" s="200"/>
      <c r="J774" s="200"/>
      <c r="K774" s="200"/>
      <c r="M774" s="200"/>
      <c r="O774" s="200"/>
      <c r="Q774" s="240"/>
    </row>
    <row r="775" spans="2:17" x14ac:dyDescent="0.3">
      <c r="G775" s="200"/>
      <c r="H775" s="200"/>
      <c r="I775" s="200"/>
      <c r="J775" s="200"/>
      <c r="K775" s="200"/>
      <c r="M775" s="200"/>
      <c r="O775" s="200"/>
      <c r="Q775" s="240"/>
    </row>
    <row r="776" spans="2:17" x14ac:dyDescent="0.3">
      <c r="G776" s="200"/>
      <c r="H776" s="200"/>
      <c r="I776" s="200"/>
      <c r="J776" s="200"/>
      <c r="K776" s="200"/>
      <c r="M776" s="200"/>
      <c r="O776" s="200"/>
      <c r="Q776" s="240"/>
    </row>
    <row r="777" spans="2:17" x14ac:dyDescent="0.3">
      <c r="G777" s="200"/>
      <c r="H777" s="200"/>
      <c r="I777" s="200"/>
      <c r="J777" s="200"/>
      <c r="K777" s="200"/>
      <c r="M777" s="200"/>
      <c r="O777" s="200"/>
      <c r="Q777" s="240"/>
    </row>
    <row r="778" spans="2:17" x14ac:dyDescent="0.3">
      <c r="G778" s="200"/>
      <c r="H778" s="200"/>
      <c r="I778" s="200"/>
      <c r="J778" s="200"/>
      <c r="K778" s="200"/>
      <c r="M778" s="200"/>
      <c r="O778" s="200"/>
      <c r="Q778" s="240"/>
    </row>
    <row r="779" spans="2:17" x14ac:dyDescent="0.3">
      <c r="G779" s="200"/>
      <c r="H779" s="200"/>
      <c r="I779" s="200"/>
      <c r="J779" s="200"/>
      <c r="K779" s="200"/>
      <c r="M779" s="200"/>
      <c r="O779" s="200"/>
      <c r="Q779" s="240"/>
    </row>
    <row r="780" spans="2:17" x14ac:dyDescent="0.3">
      <c r="G780" s="200"/>
      <c r="H780" s="200"/>
      <c r="I780" s="200"/>
      <c r="J780" s="200"/>
      <c r="K780" s="200"/>
      <c r="M780" s="200"/>
      <c r="O780" s="200"/>
      <c r="Q780" s="240"/>
    </row>
    <row r="781" spans="2:17" x14ac:dyDescent="0.3">
      <c r="G781" s="200"/>
      <c r="H781" s="200"/>
      <c r="I781" s="200"/>
      <c r="J781" s="200"/>
      <c r="K781" s="200"/>
      <c r="M781" s="200"/>
      <c r="O781" s="200"/>
      <c r="Q781" s="240"/>
    </row>
    <row r="782" spans="2:17" x14ac:dyDescent="0.3">
      <c r="G782" s="200"/>
      <c r="H782" s="200"/>
      <c r="I782" s="200"/>
      <c r="J782" s="200"/>
      <c r="K782" s="200"/>
      <c r="M782" s="200"/>
      <c r="O782" s="200"/>
      <c r="Q782" s="240"/>
    </row>
    <row r="783" spans="2:17" x14ac:dyDescent="0.3">
      <c r="G783" s="200"/>
      <c r="H783" s="200"/>
      <c r="I783" s="200"/>
      <c r="J783" s="200"/>
      <c r="K783" s="200"/>
      <c r="M783" s="200"/>
      <c r="O783" s="200"/>
      <c r="Q783" s="240"/>
    </row>
    <row r="784" spans="2:17" x14ac:dyDescent="0.3">
      <c r="G784" s="200"/>
      <c r="H784" s="200"/>
      <c r="I784" s="200"/>
      <c r="J784" s="200"/>
      <c r="K784" s="200"/>
      <c r="M784" s="200"/>
      <c r="O784" s="200"/>
      <c r="Q784" s="240"/>
    </row>
    <row r="785" spans="7:17" x14ac:dyDescent="0.3">
      <c r="G785" s="200"/>
      <c r="H785" s="200"/>
      <c r="I785" s="200"/>
      <c r="J785" s="200"/>
      <c r="K785" s="200"/>
      <c r="M785" s="200"/>
      <c r="O785" s="200"/>
      <c r="Q785" s="240"/>
    </row>
    <row r="786" spans="7:17" x14ac:dyDescent="0.3">
      <c r="G786" s="200"/>
      <c r="H786" s="200"/>
      <c r="I786" s="200"/>
      <c r="J786" s="200"/>
      <c r="K786" s="200"/>
      <c r="M786" s="200"/>
      <c r="O786" s="200"/>
      <c r="Q786" s="240"/>
    </row>
    <row r="787" spans="7:17" x14ac:dyDescent="0.3">
      <c r="G787" s="200"/>
      <c r="H787" s="200"/>
      <c r="I787" s="200"/>
      <c r="J787" s="200"/>
      <c r="K787" s="200"/>
      <c r="M787" s="200"/>
      <c r="O787" s="200"/>
      <c r="Q787" s="240"/>
    </row>
    <row r="788" spans="7:17" x14ac:dyDescent="0.3">
      <c r="G788" s="200"/>
      <c r="H788" s="200"/>
      <c r="I788" s="200"/>
      <c r="J788" s="200"/>
      <c r="K788" s="200"/>
      <c r="M788" s="200"/>
      <c r="O788" s="200"/>
      <c r="Q788" s="240"/>
    </row>
    <row r="789" spans="7:17" x14ac:dyDescent="0.3">
      <c r="G789" s="200"/>
      <c r="H789" s="200"/>
      <c r="I789" s="200"/>
      <c r="J789" s="200"/>
      <c r="K789" s="200"/>
      <c r="M789" s="200"/>
      <c r="O789" s="200"/>
      <c r="Q789" s="240"/>
    </row>
    <row r="790" spans="7:17" x14ac:dyDescent="0.3">
      <c r="G790" s="200"/>
      <c r="H790" s="200"/>
      <c r="I790" s="200"/>
      <c r="J790" s="200"/>
      <c r="K790" s="200"/>
      <c r="M790" s="200"/>
      <c r="O790" s="200"/>
      <c r="Q790" s="240"/>
    </row>
    <row r="791" spans="7:17" x14ac:dyDescent="0.3">
      <c r="G791" s="200"/>
      <c r="H791" s="200"/>
      <c r="I791" s="200"/>
      <c r="J791" s="200"/>
      <c r="K791" s="200"/>
      <c r="M791" s="200"/>
      <c r="O791" s="200"/>
      <c r="Q791" s="240"/>
    </row>
    <row r="792" spans="7:17" x14ac:dyDescent="0.3">
      <c r="G792" s="200"/>
      <c r="H792" s="200"/>
      <c r="I792" s="200"/>
      <c r="J792" s="200"/>
      <c r="K792" s="200"/>
      <c r="M792" s="200"/>
      <c r="O792" s="200"/>
      <c r="Q792" s="240"/>
    </row>
    <row r="793" spans="7:17" x14ac:dyDescent="0.3">
      <c r="G793" s="200"/>
      <c r="H793" s="200"/>
      <c r="I793" s="200"/>
      <c r="J793" s="200"/>
      <c r="K793" s="200"/>
      <c r="M793" s="200"/>
      <c r="O793" s="200"/>
      <c r="Q793" s="240"/>
    </row>
    <row r="794" spans="7:17" x14ac:dyDescent="0.3">
      <c r="G794" s="200"/>
      <c r="H794" s="200"/>
      <c r="I794" s="200"/>
      <c r="J794" s="200"/>
      <c r="K794" s="200"/>
      <c r="M794" s="200"/>
      <c r="O794" s="200"/>
      <c r="Q794" s="240"/>
    </row>
    <row r="795" spans="7:17" x14ac:dyDescent="0.3">
      <c r="G795" s="200"/>
      <c r="H795" s="200"/>
      <c r="I795" s="200"/>
      <c r="J795" s="200"/>
      <c r="K795" s="200"/>
      <c r="M795" s="200"/>
      <c r="O795" s="200"/>
      <c r="Q795" s="240"/>
    </row>
    <row r="796" spans="7:17" x14ac:dyDescent="0.3">
      <c r="G796" s="200"/>
      <c r="H796" s="200"/>
      <c r="I796" s="200"/>
      <c r="J796" s="200"/>
      <c r="K796" s="200"/>
      <c r="M796" s="200"/>
      <c r="O796" s="200"/>
      <c r="Q796" s="240"/>
    </row>
    <row r="797" spans="7:17" x14ac:dyDescent="0.3">
      <c r="G797" s="200"/>
      <c r="H797" s="200"/>
      <c r="I797" s="200"/>
      <c r="J797" s="200"/>
      <c r="K797" s="200"/>
      <c r="M797" s="200"/>
      <c r="O797" s="200"/>
      <c r="Q797" s="240"/>
    </row>
    <row r="798" spans="7:17" x14ac:dyDescent="0.3">
      <c r="G798" s="200"/>
      <c r="H798" s="200"/>
      <c r="I798" s="200"/>
      <c r="J798" s="200"/>
      <c r="K798" s="200"/>
      <c r="M798" s="200"/>
      <c r="O798" s="200"/>
      <c r="Q798" s="240"/>
    </row>
    <row r="799" spans="7:17" x14ac:dyDescent="0.3">
      <c r="G799" s="200"/>
      <c r="H799" s="200"/>
      <c r="I799" s="200"/>
      <c r="J799" s="200"/>
      <c r="K799" s="200"/>
      <c r="M799" s="200"/>
      <c r="O799" s="200"/>
      <c r="Q799" s="240"/>
    </row>
    <row r="800" spans="7:17" x14ac:dyDescent="0.3">
      <c r="G800" s="200"/>
      <c r="H800" s="200"/>
      <c r="I800" s="200"/>
      <c r="J800" s="200"/>
      <c r="K800" s="200"/>
      <c r="M800" s="200"/>
      <c r="O800" s="200"/>
      <c r="Q800" s="240"/>
    </row>
    <row r="801" spans="7:17" x14ac:dyDescent="0.3">
      <c r="G801" s="200"/>
      <c r="H801" s="200"/>
      <c r="I801" s="200"/>
      <c r="J801" s="200"/>
      <c r="K801" s="200"/>
      <c r="M801" s="200"/>
      <c r="O801" s="200"/>
      <c r="Q801" s="240"/>
    </row>
    <row r="802" spans="7:17" x14ac:dyDescent="0.3">
      <c r="G802" s="200"/>
      <c r="H802" s="200"/>
      <c r="I802" s="200"/>
      <c r="J802" s="200"/>
      <c r="K802" s="200"/>
      <c r="M802" s="200"/>
      <c r="O802" s="200"/>
      <c r="Q802" s="240"/>
    </row>
    <row r="803" spans="7:17" x14ac:dyDescent="0.3">
      <c r="G803" s="200"/>
      <c r="H803" s="200"/>
      <c r="I803" s="200"/>
      <c r="J803" s="200"/>
      <c r="K803" s="200"/>
      <c r="M803" s="200"/>
      <c r="O803" s="200"/>
      <c r="Q803" s="240"/>
    </row>
    <row r="804" spans="7:17" x14ac:dyDescent="0.3">
      <c r="G804" s="200"/>
      <c r="H804" s="200"/>
      <c r="I804" s="200"/>
      <c r="J804" s="200"/>
      <c r="K804" s="200"/>
      <c r="M804" s="200"/>
      <c r="O804" s="200"/>
      <c r="Q804" s="240"/>
    </row>
    <row r="805" spans="7:17" x14ac:dyDescent="0.3">
      <c r="G805" s="200"/>
      <c r="H805" s="200"/>
      <c r="I805" s="200"/>
      <c r="J805" s="200"/>
      <c r="K805" s="200"/>
      <c r="M805" s="200"/>
      <c r="O805" s="200"/>
      <c r="Q805" s="240"/>
    </row>
    <row r="806" spans="7:17" x14ac:dyDescent="0.3">
      <c r="G806" s="200"/>
      <c r="H806" s="200"/>
      <c r="I806" s="200"/>
      <c r="J806" s="200"/>
      <c r="K806" s="200"/>
      <c r="M806" s="200"/>
      <c r="O806" s="200"/>
      <c r="Q806" s="240"/>
    </row>
    <row r="807" spans="7:17" x14ac:dyDescent="0.3">
      <c r="G807" s="200"/>
      <c r="H807" s="200"/>
      <c r="I807" s="200"/>
      <c r="J807" s="200"/>
      <c r="K807" s="200"/>
      <c r="M807" s="200"/>
      <c r="O807" s="200"/>
      <c r="Q807" s="240"/>
    </row>
    <row r="808" spans="7:17" x14ac:dyDescent="0.3">
      <c r="G808" s="200"/>
      <c r="H808" s="200"/>
      <c r="I808" s="200"/>
      <c r="J808" s="200"/>
      <c r="K808" s="200"/>
      <c r="M808" s="200"/>
      <c r="O808" s="200"/>
      <c r="Q808" s="240"/>
    </row>
    <row r="809" spans="7:17" x14ac:dyDescent="0.3">
      <c r="G809" s="200"/>
      <c r="H809" s="200"/>
      <c r="I809" s="200"/>
      <c r="J809" s="200"/>
      <c r="K809" s="200"/>
      <c r="M809" s="200"/>
      <c r="O809" s="200"/>
      <c r="Q809" s="240"/>
    </row>
    <row r="810" spans="7:17" x14ac:dyDescent="0.3">
      <c r="G810" s="200"/>
      <c r="H810" s="200"/>
      <c r="I810" s="200"/>
      <c r="J810" s="200"/>
      <c r="K810" s="200"/>
      <c r="M810" s="200"/>
      <c r="O810" s="200"/>
      <c r="Q810" s="240"/>
    </row>
    <row r="811" spans="7:17" x14ac:dyDescent="0.3">
      <c r="G811" s="200"/>
      <c r="H811" s="200"/>
      <c r="I811" s="200"/>
      <c r="J811" s="200"/>
      <c r="K811" s="200"/>
      <c r="M811" s="200"/>
      <c r="O811" s="200"/>
      <c r="Q811" s="240"/>
    </row>
    <row r="812" spans="7:17" x14ac:dyDescent="0.3">
      <c r="G812" s="200"/>
      <c r="H812" s="200"/>
      <c r="I812" s="200"/>
      <c r="J812" s="200"/>
      <c r="K812" s="200"/>
      <c r="M812" s="200"/>
      <c r="O812" s="200"/>
      <c r="Q812" s="240"/>
    </row>
    <row r="813" spans="7:17" x14ac:dyDescent="0.3">
      <c r="G813" s="200"/>
      <c r="H813" s="200"/>
      <c r="I813" s="200"/>
      <c r="J813" s="200"/>
      <c r="K813" s="200"/>
      <c r="M813" s="200"/>
      <c r="O813" s="200"/>
      <c r="Q813" s="240"/>
    </row>
    <row r="814" spans="7:17" x14ac:dyDescent="0.3">
      <c r="G814" s="200"/>
      <c r="H814" s="200"/>
      <c r="I814" s="200"/>
      <c r="J814" s="200"/>
      <c r="K814" s="200"/>
      <c r="M814" s="200"/>
      <c r="O814" s="200"/>
      <c r="Q814" s="240"/>
    </row>
    <row r="815" spans="7:17" x14ac:dyDescent="0.3">
      <c r="G815" s="200"/>
      <c r="H815" s="200"/>
      <c r="I815" s="200"/>
      <c r="J815" s="200"/>
      <c r="K815" s="200"/>
      <c r="M815" s="200"/>
      <c r="O815" s="200"/>
      <c r="Q815" s="240"/>
    </row>
    <row r="816" spans="7:17" x14ac:dyDescent="0.3">
      <c r="G816" s="200"/>
      <c r="H816" s="200"/>
      <c r="I816" s="200"/>
      <c r="J816" s="200"/>
      <c r="K816" s="200"/>
      <c r="M816" s="200"/>
      <c r="O816" s="200"/>
      <c r="Q816" s="240"/>
    </row>
    <row r="817" spans="7:17" x14ac:dyDescent="0.3">
      <c r="G817" s="200"/>
      <c r="H817" s="200"/>
      <c r="I817" s="200"/>
      <c r="J817" s="200"/>
      <c r="K817" s="200"/>
      <c r="M817" s="200"/>
      <c r="O817" s="200"/>
      <c r="Q817" s="240"/>
    </row>
    <row r="818" spans="7:17" x14ac:dyDescent="0.3">
      <c r="G818" s="200"/>
      <c r="H818" s="200"/>
      <c r="I818" s="200"/>
      <c r="J818" s="200"/>
      <c r="K818" s="200"/>
      <c r="M818" s="200"/>
      <c r="O818" s="200"/>
      <c r="Q818" s="240"/>
    </row>
    <row r="819" spans="7:17" x14ac:dyDescent="0.3">
      <c r="G819" s="200"/>
      <c r="H819" s="200"/>
      <c r="I819" s="200"/>
      <c r="J819" s="200"/>
      <c r="K819" s="200"/>
      <c r="M819" s="200"/>
      <c r="O819" s="200"/>
      <c r="Q819" s="240"/>
    </row>
    <row r="820" spans="7:17" x14ac:dyDescent="0.3">
      <c r="G820" s="200"/>
      <c r="H820" s="200"/>
      <c r="I820" s="200"/>
      <c r="J820" s="200"/>
      <c r="K820" s="200"/>
      <c r="M820" s="200"/>
      <c r="O820" s="200"/>
      <c r="Q820" s="240"/>
    </row>
    <row r="821" spans="7:17" x14ac:dyDescent="0.3">
      <c r="G821" s="200"/>
      <c r="H821" s="200"/>
      <c r="I821" s="200"/>
      <c r="J821" s="200"/>
      <c r="K821" s="200"/>
      <c r="M821" s="200"/>
      <c r="O821" s="200"/>
      <c r="Q821" s="240"/>
    </row>
    <row r="822" spans="7:17" x14ac:dyDescent="0.3">
      <c r="G822" s="200"/>
      <c r="H822" s="200"/>
      <c r="I822" s="200"/>
      <c r="J822" s="200"/>
      <c r="K822" s="200"/>
      <c r="M822" s="200"/>
      <c r="O822" s="200"/>
      <c r="Q822" s="240"/>
    </row>
    <row r="823" spans="7:17" x14ac:dyDescent="0.3">
      <c r="G823" s="200"/>
      <c r="H823" s="200"/>
      <c r="I823" s="200"/>
      <c r="J823" s="200"/>
      <c r="K823" s="200"/>
      <c r="M823" s="200"/>
      <c r="O823" s="200"/>
      <c r="Q823" s="240"/>
    </row>
    <row r="824" spans="7:17" x14ac:dyDescent="0.3">
      <c r="G824" s="200"/>
      <c r="H824" s="200"/>
      <c r="I824" s="200"/>
      <c r="J824" s="200"/>
      <c r="K824" s="200"/>
      <c r="M824" s="200"/>
      <c r="O824" s="200"/>
      <c r="Q824" s="240"/>
    </row>
    <row r="825" spans="7:17" x14ac:dyDescent="0.3">
      <c r="G825" s="200"/>
      <c r="H825" s="200"/>
      <c r="I825" s="200"/>
      <c r="J825" s="200"/>
      <c r="K825" s="200"/>
      <c r="M825" s="200"/>
      <c r="O825" s="200"/>
      <c r="Q825" s="240"/>
    </row>
    <row r="826" spans="7:17" x14ac:dyDescent="0.3">
      <c r="G826" s="200"/>
      <c r="H826" s="200"/>
      <c r="I826" s="200"/>
      <c r="J826" s="200"/>
      <c r="K826" s="200"/>
      <c r="M826" s="200"/>
      <c r="O826" s="200"/>
      <c r="Q826" s="240"/>
    </row>
    <row r="827" spans="7:17" x14ac:dyDescent="0.3">
      <c r="G827" s="200"/>
      <c r="H827" s="200"/>
      <c r="I827" s="200"/>
      <c r="J827" s="200"/>
      <c r="K827" s="200"/>
      <c r="M827" s="200"/>
      <c r="O827" s="200"/>
      <c r="Q827" s="240"/>
    </row>
    <row r="828" spans="7:17" x14ac:dyDescent="0.3">
      <c r="G828" s="200"/>
      <c r="H828" s="200"/>
      <c r="I828" s="200"/>
      <c r="J828" s="200"/>
      <c r="K828" s="200"/>
      <c r="M828" s="200"/>
      <c r="O828" s="200"/>
      <c r="Q828" s="240"/>
    </row>
    <row r="829" spans="7:17" x14ac:dyDescent="0.3">
      <c r="G829" s="200"/>
      <c r="H829" s="200"/>
      <c r="I829" s="200"/>
      <c r="J829" s="200"/>
      <c r="K829" s="200"/>
      <c r="M829" s="200"/>
      <c r="O829" s="200"/>
      <c r="Q829" s="240"/>
    </row>
    <row r="830" spans="7:17" x14ac:dyDescent="0.3">
      <c r="G830" s="200"/>
      <c r="H830" s="200"/>
      <c r="I830" s="200"/>
      <c r="J830" s="200"/>
      <c r="K830" s="200"/>
      <c r="M830" s="200"/>
      <c r="O830" s="200"/>
      <c r="Q830" s="240"/>
    </row>
    <row r="831" spans="7:17" x14ac:dyDescent="0.3">
      <c r="G831" s="200"/>
      <c r="H831" s="200"/>
      <c r="I831" s="200"/>
      <c r="J831" s="200"/>
      <c r="K831" s="200"/>
      <c r="M831" s="200"/>
      <c r="O831" s="200"/>
      <c r="Q831" s="240"/>
    </row>
    <row r="832" spans="7:17" x14ac:dyDescent="0.3">
      <c r="G832" s="200"/>
      <c r="H832" s="200"/>
      <c r="I832" s="200"/>
      <c r="J832" s="200"/>
      <c r="K832" s="200"/>
      <c r="M832" s="200"/>
      <c r="O832" s="200"/>
      <c r="Q832" s="240"/>
    </row>
    <row r="833" spans="7:17" x14ac:dyDescent="0.3">
      <c r="G833" s="200"/>
      <c r="H833" s="200"/>
      <c r="I833" s="200"/>
      <c r="J833" s="200"/>
      <c r="K833" s="200"/>
      <c r="M833" s="200"/>
      <c r="O833" s="200"/>
      <c r="Q833" s="240"/>
    </row>
    <row r="834" spans="7:17" x14ac:dyDescent="0.3">
      <c r="G834" s="200"/>
      <c r="H834" s="200"/>
      <c r="I834" s="200"/>
      <c r="J834" s="200"/>
      <c r="K834" s="200"/>
      <c r="M834" s="200"/>
      <c r="O834" s="200"/>
      <c r="Q834" s="240"/>
    </row>
    <row r="835" spans="7:17" x14ac:dyDescent="0.3">
      <c r="G835" s="200"/>
      <c r="H835" s="200"/>
      <c r="I835" s="200"/>
      <c r="J835" s="200"/>
      <c r="K835" s="200"/>
      <c r="M835" s="200"/>
      <c r="O835" s="200"/>
      <c r="Q835" s="240"/>
    </row>
    <row r="836" spans="7:17" x14ac:dyDescent="0.3">
      <c r="G836" s="200"/>
      <c r="H836" s="200"/>
      <c r="I836" s="200"/>
      <c r="J836" s="200"/>
      <c r="K836" s="200"/>
      <c r="M836" s="200"/>
      <c r="O836" s="200"/>
      <c r="Q836" s="240"/>
    </row>
    <row r="837" spans="7:17" x14ac:dyDescent="0.3">
      <c r="G837" s="200"/>
      <c r="H837" s="200"/>
      <c r="I837" s="200"/>
      <c r="J837" s="200"/>
      <c r="K837" s="200"/>
      <c r="M837" s="200"/>
      <c r="O837" s="200"/>
      <c r="Q837" s="240"/>
    </row>
    <row r="838" spans="7:17" x14ac:dyDescent="0.3">
      <c r="G838" s="200"/>
      <c r="H838" s="200"/>
      <c r="I838" s="200"/>
      <c r="J838" s="200"/>
      <c r="K838" s="200"/>
      <c r="M838" s="200"/>
      <c r="O838" s="200"/>
      <c r="Q838" s="240"/>
    </row>
    <row r="839" spans="7:17" x14ac:dyDescent="0.3">
      <c r="G839" s="200"/>
      <c r="H839" s="200"/>
      <c r="I839" s="200"/>
      <c r="J839" s="200"/>
      <c r="K839" s="200"/>
      <c r="M839" s="200"/>
      <c r="O839" s="200"/>
      <c r="Q839" s="240"/>
    </row>
    <row r="840" spans="7:17" x14ac:dyDescent="0.3">
      <c r="G840" s="200"/>
      <c r="H840" s="200"/>
      <c r="I840" s="200"/>
      <c r="J840" s="200"/>
      <c r="K840" s="200"/>
      <c r="M840" s="200"/>
      <c r="O840" s="200"/>
      <c r="Q840" s="240"/>
    </row>
    <row r="841" spans="7:17" x14ac:dyDescent="0.3">
      <c r="G841" s="200"/>
      <c r="H841" s="200"/>
      <c r="I841" s="200"/>
      <c r="J841" s="200"/>
      <c r="K841" s="200"/>
      <c r="M841" s="200"/>
      <c r="O841" s="200"/>
      <c r="Q841" s="240"/>
    </row>
    <row r="842" spans="7:17" x14ac:dyDescent="0.3">
      <c r="G842" s="200"/>
      <c r="H842" s="200"/>
      <c r="I842" s="200"/>
      <c r="J842" s="200"/>
      <c r="K842" s="200"/>
      <c r="M842" s="200"/>
      <c r="O842" s="200"/>
      <c r="Q842" s="240"/>
    </row>
    <row r="843" spans="7:17" x14ac:dyDescent="0.3">
      <c r="G843" s="200"/>
      <c r="H843" s="200"/>
      <c r="I843" s="200"/>
      <c r="J843" s="200"/>
      <c r="K843" s="200"/>
      <c r="M843" s="200"/>
      <c r="O843" s="200"/>
      <c r="Q843" s="240"/>
    </row>
    <row r="844" spans="7:17" x14ac:dyDescent="0.3">
      <c r="G844" s="200"/>
      <c r="H844" s="200"/>
      <c r="I844" s="200"/>
      <c r="J844" s="200"/>
      <c r="K844" s="200"/>
      <c r="M844" s="200"/>
      <c r="O844" s="200"/>
      <c r="Q844" s="240"/>
    </row>
    <row r="845" spans="7:17" x14ac:dyDescent="0.3">
      <c r="G845" s="200"/>
      <c r="H845" s="200"/>
      <c r="I845" s="200"/>
      <c r="J845" s="200"/>
      <c r="K845" s="200"/>
      <c r="M845" s="200"/>
      <c r="O845" s="200"/>
      <c r="Q845" s="240"/>
    </row>
    <row r="846" spans="7:17" x14ac:dyDescent="0.3">
      <c r="G846" s="200"/>
      <c r="H846" s="200"/>
      <c r="I846" s="200"/>
      <c r="J846" s="200"/>
      <c r="K846" s="200"/>
      <c r="M846" s="200"/>
      <c r="O846" s="200"/>
      <c r="Q846" s="240"/>
    </row>
    <row r="847" spans="7:17" x14ac:dyDescent="0.3">
      <c r="G847" s="200"/>
      <c r="H847" s="200"/>
      <c r="I847" s="200"/>
      <c r="J847" s="200"/>
      <c r="K847" s="200"/>
      <c r="M847" s="200"/>
      <c r="O847" s="200"/>
      <c r="Q847" s="240"/>
    </row>
    <row r="848" spans="7:17" x14ac:dyDescent="0.3">
      <c r="G848" s="200"/>
      <c r="H848" s="200"/>
      <c r="I848" s="200"/>
      <c r="J848" s="200"/>
      <c r="K848" s="200"/>
      <c r="M848" s="200"/>
      <c r="O848" s="200"/>
      <c r="Q848" s="240"/>
    </row>
    <row r="849" spans="7:17" x14ac:dyDescent="0.3">
      <c r="G849" s="200"/>
      <c r="H849" s="200"/>
      <c r="I849" s="200"/>
      <c r="J849" s="200"/>
      <c r="K849" s="200"/>
      <c r="M849" s="200"/>
      <c r="O849" s="200"/>
      <c r="Q849" s="240"/>
    </row>
    <row r="850" spans="7:17" x14ac:dyDescent="0.3">
      <c r="G850" s="200"/>
      <c r="H850" s="200"/>
      <c r="I850" s="200"/>
      <c r="J850" s="200"/>
      <c r="K850" s="200"/>
      <c r="M850" s="200"/>
      <c r="O850" s="200"/>
      <c r="Q850" s="240"/>
    </row>
    <row r="851" spans="7:17" x14ac:dyDescent="0.3">
      <c r="G851" s="200"/>
      <c r="H851" s="200"/>
      <c r="I851" s="200"/>
      <c r="J851" s="200"/>
      <c r="K851" s="200"/>
      <c r="M851" s="200"/>
      <c r="O851" s="200"/>
      <c r="Q851" s="240"/>
    </row>
    <row r="852" spans="7:17" x14ac:dyDescent="0.3">
      <c r="G852" s="200"/>
      <c r="H852" s="200"/>
      <c r="I852" s="200"/>
      <c r="J852" s="200"/>
      <c r="K852" s="200"/>
      <c r="M852" s="200"/>
      <c r="O852" s="200"/>
      <c r="Q852" s="240"/>
    </row>
    <row r="853" spans="7:17" x14ac:dyDescent="0.3">
      <c r="G853" s="200"/>
      <c r="H853" s="200"/>
      <c r="I853" s="200"/>
      <c r="J853" s="200"/>
      <c r="K853" s="200"/>
      <c r="M853" s="200"/>
      <c r="O853" s="200"/>
      <c r="Q853" s="240"/>
    </row>
    <row r="854" spans="7:17" x14ac:dyDescent="0.3">
      <c r="G854" s="200"/>
      <c r="H854" s="200"/>
      <c r="I854" s="200"/>
      <c r="J854" s="200"/>
      <c r="K854" s="200"/>
      <c r="M854" s="200"/>
      <c r="O854" s="200"/>
      <c r="Q854" s="240"/>
    </row>
    <row r="855" spans="7:17" x14ac:dyDescent="0.3">
      <c r="G855" s="200"/>
      <c r="H855" s="200"/>
      <c r="I855" s="200"/>
      <c r="J855" s="200"/>
      <c r="K855" s="200"/>
      <c r="M855" s="200"/>
      <c r="O855" s="200"/>
      <c r="Q855" s="240"/>
    </row>
    <row r="856" spans="7:17" x14ac:dyDescent="0.3">
      <c r="G856" s="200"/>
      <c r="H856" s="200"/>
      <c r="I856" s="200"/>
      <c r="J856" s="200"/>
      <c r="K856" s="200"/>
      <c r="M856" s="200"/>
      <c r="O856" s="200"/>
      <c r="Q856" s="240"/>
    </row>
    <row r="857" spans="7:17" x14ac:dyDescent="0.3">
      <c r="G857" s="200"/>
      <c r="H857" s="200"/>
      <c r="I857" s="200"/>
      <c r="J857" s="200"/>
      <c r="K857" s="200"/>
      <c r="M857" s="200"/>
      <c r="O857" s="200"/>
      <c r="Q857" s="240"/>
    </row>
    <row r="858" spans="7:17" x14ac:dyDescent="0.3">
      <c r="G858" s="200"/>
      <c r="H858" s="200"/>
      <c r="I858" s="200"/>
      <c r="J858" s="200"/>
      <c r="K858" s="200"/>
      <c r="M858" s="200"/>
      <c r="O858" s="200"/>
      <c r="Q858" s="240"/>
    </row>
    <row r="859" spans="7:17" x14ac:dyDescent="0.3">
      <c r="G859" s="200"/>
      <c r="H859" s="200"/>
      <c r="I859" s="200"/>
      <c r="J859" s="200"/>
      <c r="K859" s="200"/>
      <c r="M859" s="200"/>
      <c r="O859" s="200"/>
      <c r="Q859" s="240"/>
    </row>
    <row r="860" spans="7:17" x14ac:dyDescent="0.3">
      <c r="G860" s="200"/>
      <c r="H860" s="200"/>
      <c r="I860" s="200"/>
      <c r="J860" s="200"/>
      <c r="K860" s="200"/>
      <c r="M860" s="200"/>
      <c r="O860" s="200"/>
      <c r="Q860" s="240"/>
    </row>
    <row r="861" spans="7:17" x14ac:dyDescent="0.3">
      <c r="G861" s="200"/>
      <c r="H861" s="200"/>
      <c r="I861" s="200"/>
      <c r="J861" s="200"/>
      <c r="K861" s="200"/>
      <c r="M861" s="200"/>
      <c r="O861" s="200"/>
      <c r="Q861" s="240"/>
    </row>
    <row r="862" spans="7:17" x14ac:dyDescent="0.3">
      <c r="G862" s="200"/>
      <c r="H862" s="200"/>
      <c r="I862" s="200"/>
      <c r="J862" s="200"/>
      <c r="K862" s="200"/>
      <c r="M862" s="200"/>
      <c r="O862" s="200"/>
      <c r="Q862" s="240"/>
    </row>
    <row r="863" spans="7:17" x14ac:dyDescent="0.3">
      <c r="G863" s="200"/>
      <c r="H863" s="200"/>
      <c r="I863" s="200"/>
      <c r="J863" s="200"/>
      <c r="K863" s="200"/>
      <c r="M863" s="200"/>
      <c r="O863" s="200"/>
      <c r="Q863" s="240"/>
    </row>
    <row r="864" spans="7:17" x14ac:dyDescent="0.3">
      <c r="G864" s="200"/>
      <c r="H864" s="200"/>
      <c r="I864" s="200"/>
      <c r="J864" s="200"/>
      <c r="K864" s="200"/>
      <c r="M864" s="200"/>
      <c r="O864" s="200"/>
      <c r="Q864" s="240"/>
    </row>
    <row r="865" spans="7:17" x14ac:dyDescent="0.3">
      <c r="G865" s="200"/>
      <c r="H865" s="200"/>
      <c r="I865" s="200"/>
      <c r="J865" s="200"/>
      <c r="K865" s="200"/>
      <c r="M865" s="200"/>
      <c r="O865" s="200"/>
      <c r="Q865" s="240"/>
    </row>
    <row r="866" spans="7:17" x14ac:dyDescent="0.3">
      <c r="G866" s="200"/>
      <c r="H866" s="200"/>
      <c r="I866" s="200"/>
      <c r="J866" s="200"/>
      <c r="K866" s="200"/>
      <c r="M866" s="200"/>
      <c r="O866" s="200"/>
      <c r="Q866" s="240"/>
    </row>
    <row r="867" spans="7:17" x14ac:dyDescent="0.3">
      <c r="G867" s="200"/>
      <c r="H867" s="200"/>
      <c r="I867" s="200"/>
      <c r="J867" s="200"/>
      <c r="K867" s="200"/>
      <c r="M867" s="200"/>
      <c r="O867" s="200"/>
      <c r="Q867" s="240"/>
    </row>
    <row r="868" spans="7:17" x14ac:dyDescent="0.3">
      <c r="G868" s="200"/>
      <c r="H868" s="200"/>
      <c r="I868" s="200"/>
      <c r="J868" s="200"/>
      <c r="K868" s="200"/>
      <c r="M868" s="200"/>
      <c r="O868" s="200"/>
      <c r="Q868" s="240"/>
    </row>
    <row r="869" spans="7:17" x14ac:dyDescent="0.3">
      <c r="G869" s="200"/>
      <c r="H869" s="200"/>
      <c r="I869" s="200"/>
      <c r="J869" s="200"/>
      <c r="K869" s="200"/>
      <c r="M869" s="200"/>
      <c r="O869" s="200"/>
      <c r="Q869" s="240"/>
    </row>
    <row r="870" spans="7:17" x14ac:dyDescent="0.3">
      <c r="G870" s="200"/>
      <c r="H870" s="200"/>
      <c r="I870" s="200"/>
      <c r="J870" s="200"/>
      <c r="K870" s="200"/>
      <c r="M870" s="200"/>
      <c r="O870" s="200"/>
      <c r="Q870" s="240"/>
    </row>
    <row r="871" spans="7:17" x14ac:dyDescent="0.3">
      <c r="G871" s="200"/>
      <c r="H871" s="200"/>
      <c r="I871" s="200"/>
      <c r="J871" s="200"/>
      <c r="K871" s="200"/>
      <c r="M871" s="200"/>
      <c r="O871" s="200"/>
      <c r="Q871" s="240"/>
    </row>
    <row r="872" spans="7:17" x14ac:dyDescent="0.3">
      <c r="G872" s="200"/>
      <c r="H872" s="200"/>
      <c r="I872" s="200"/>
      <c r="J872" s="200"/>
      <c r="K872" s="200"/>
      <c r="M872" s="200"/>
      <c r="O872" s="200"/>
      <c r="Q872" s="240"/>
    </row>
    <row r="873" spans="7:17" x14ac:dyDescent="0.3">
      <c r="G873" s="200"/>
      <c r="H873" s="200"/>
      <c r="I873" s="200"/>
      <c r="J873" s="200"/>
      <c r="K873" s="200"/>
      <c r="M873" s="200"/>
      <c r="O873" s="200"/>
      <c r="Q873" s="240"/>
    </row>
    <row r="874" spans="7:17" x14ac:dyDescent="0.3">
      <c r="G874" s="200"/>
      <c r="H874" s="200"/>
      <c r="I874" s="200"/>
      <c r="J874" s="200"/>
      <c r="K874" s="200"/>
      <c r="M874" s="200"/>
      <c r="O874" s="200"/>
      <c r="Q874" s="240"/>
    </row>
    <row r="875" spans="7:17" x14ac:dyDescent="0.3">
      <c r="G875" s="200"/>
      <c r="H875" s="200"/>
      <c r="I875" s="200"/>
      <c r="J875" s="200"/>
      <c r="K875" s="200"/>
      <c r="M875" s="200"/>
      <c r="O875" s="200"/>
      <c r="Q875" s="240"/>
    </row>
    <row r="876" spans="7:17" x14ac:dyDescent="0.3">
      <c r="G876" s="200"/>
      <c r="H876" s="200"/>
      <c r="I876" s="200"/>
      <c r="J876" s="200"/>
      <c r="K876" s="200"/>
      <c r="M876" s="200"/>
      <c r="O876" s="200"/>
      <c r="Q876" s="240"/>
    </row>
    <row r="877" spans="7:17" x14ac:dyDescent="0.3">
      <c r="G877" s="200"/>
      <c r="H877" s="200"/>
      <c r="I877" s="200"/>
      <c r="J877" s="200"/>
      <c r="K877" s="200"/>
      <c r="M877" s="200"/>
      <c r="O877" s="200"/>
      <c r="Q877" s="240"/>
    </row>
    <row r="878" spans="7:17" x14ac:dyDescent="0.3">
      <c r="G878" s="200"/>
      <c r="H878" s="200"/>
      <c r="I878" s="200"/>
      <c r="J878" s="200"/>
      <c r="K878" s="200"/>
      <c r="M878" s="200"/>
      <c r="O878" s="200"/>
      <c r="Q878" s="240"/>
    </row>
    <row r="879" spans="7:17" x14ac:dyDescent="0.3">
      <c r="G879" s="200"/>
      <c r="H879" s="200"/>
      <c r="I879" s="200"/>
      <c r="J879" s="200"/>
      <c r="K879" s="200"/>
      <c r="M879" s="200"/>
      <c r="O879" s="200"/>
      <c r="Q879" s="240"/>
    </row>
    <row r="880" spans="7:17" x14ac:dyDescent="0.3">
      <c r="G880" s="200"/>
      <c r="H880" s="200"/>
      <c r="I880" s="200"/>
      <c r="J880" s="200"/>
      <c r="K880" s="200"/>
      <c r="M880" s="200"/>
      <c r="O880" s="200"/>
      <c r="Q880" s="240"/>
    </row>
    <row r="881" spans="7:17" x14ac:dyDescent="0.3">
      <c r="G881" s="200"/>
      <c r="H881" s="200"/>
      <c r="I881" s="200"/>
      <c r="J881" s="200"/>
      <c r="K881" s="200"/>
      <c r="M881" s="200"/>
      <c r="O881" s="200"/>
      <c r="Q881" s="240"/>
    </row>
    <row r="882" spans="7:17" x14ac:dyDescent="0.3">
      <c r="G882" s="200"/>
      <c r="H882" s="200"/>
      <c r="I882" s="200"/>
      <c r="J882" s="200"/>
      <c r="K882" s="200"/>
      <c r="M882" s="200"/>
      <c r="O882" s="200"/>
      <c r="Q882" s="240"/>
    </row>
    <row r="883" spans="7:17" x14ac:dyDescent="0.3">
      <c r="G883" s="200"/>
      <c r="H883" s="200"/>
      <c r="I883" s="200"/>
      <c r="J883" s="200"/>
      <c r="K883" s="200"/>
      <c r="M883" s="200"/>
      <c r="O883" s="200"/>
      <c r="Q883" s="240"/>
    </row>
    <row r="884" spans="7:17" x14ac:dyDescent="0.3">
      <c r="G884" s="200"/>
      <c r="H884" s="200"/>
      <c r="I884" s="200"/>
      <c r="J884" s="200"/>
      <c r="K884" s="200"/>
      <c r="M884" s="200"/>
      <c r="O884" s="200"/>
      <c r="Q884" s="240"/>
    </row>
    <row r="885" spans="7:17" x14ac:dyDescent="0.3">
      <c r="G885" s="200"/>
      <c r="H885" s="200"/>
      <c r="I885" s="200"/>
      <c r="J885" s="200"/>
      <c r="K885" s="200"/>
      <c r="M885" s="200"/>
      <c r="O885" s="200"/>
      <c r="Q885" s="240"/>
    </row>
    <row r="886" spans="7:17" x14ac:dyDescent="0.3">
      <c r="G886" s="200"/>
      <c r="H886" s="200"/>
      <c r="I886" s="200"/>
      <c r="J886" s="200"/>
      <c r="K886" s="200"/>
      <c r="M886" s="200"/>
      <c r="O886" s="200"/>
      <c r="Q886" s="240"/>
    </row>
    <row r="887" spans="7:17" x14ac:dyDescent="0.3">
      <c r="G887" s="200"/>
      <c r="H887" s="200"/>
      <c r="I887" s="200"/>
      <c r="J887" s="200"/>
      <c r="K887" s="200"/>
      <c r="M887" s="200"/>
      <c r="O887" s="200"/>
      <c r="Q887" s="240"/>
    </row>
    <row r="888" spans="7:17" x14ac:dyDescent="0.3">
      <c r="G888" s="200"/>
      <c r="H888" s="200"/>
      <c r="I888" s="200"/>
      <c r="J888" s="200"/>
      <c r="K888" s="200"/>
      <c r="M888" s="200"/>
      <c r="O888" s="200"/>
      <c r="Q888" s="240"/>
    </row>
    <row r="889" spans="7:17" x14ac:dyDescent="0.3">
      <c r="G889" s="200"/>
      <c r="H889" s="200"/>
      <c r="I889" s="200"/>
      <c r="J889" s="200"/>
      <c r="K889" s="200"/>
      <c r="M889" s="200"/>
      <c r="O889" s="200"/>
      <c r="Q889" s="240"/>
    </row>
    <row r="890" spans="7:17" x14ac:dyDescent="0.3">
      <c r="G890" s="200"/>
      <c r="H890" s="200"/>
      <c r="I890" s="200"/>
      <c r="J890" s="200"/>
      <c r="K890" s="200"/>
      <c r="M890" s="200"/>
      <c r="O890" s="200"/>
      <c r="Q890" s="240"/>
    </row>
    <row r="891" spans="7:17" x14ac:dyDescent="0.3">
      <c r="G891" s="200"/>
      <c r="H891" s="200"/>
      <c r="I891" s="200"/>
      <c r="J891" s="200"/>
      <c r="K891" s="200"/>
      <c r="M891" s="200"/>
      <c r="O891" s="200"/>
      <c r="Q891" s="240"/>
    </row>
    <row r="892" spans="7:17" x14ac:dyDescent="0.3">
      <c r="G892" s="200"/>
      <c r="H892" s="200"/>
      <c r="I892" s="200"/>
      <c r="J892" s="200"/>
      <c r="K892" s="200"/>
      <c r="M892" s="200"/>
      <c r="O892" s="200"/>
      <c r="Q892" s="240"/>
    </row>
    <row r="893" spans="7:17" x14ac:dyDescent="0.3">
      <c r="G893" s="200"/>
      <c r="H893" s="200"/>
      <c r="I893" s="200"/>
      <c r="J893" s="200"/>
      <c r="K893" s="200"/>
      <c r="M893" s="200"/>
      <c r="O893" s="200"/>
      <c r="Q893" s="240"/>
    </row>
    <row r="894" spans="7:17" x14ac:dyDescent="0.3">
      <c r="G894" s="200"/>
      <c r="H894" s="200"/>
      <c r="I894" s="200"/>
      <c r="J894" s="200"/>
      <c r="K894" s="200"/>
      <c r="M894" s="200"/>
      <c r="O894" s="200"/>
      <c r="Q894" s="240"/>
    </row>
    <row r="895" spans="7:17" x14ac:dyDescent="0.3">
      <c r="G895" s="200"/>
      <c r="H895" s="200"/>
      <c r="I895" s="200"/>
      <c r="J895" s="200"/>
      <c r="K895" s="200"/>
      <c r="M895" s="200"/>
      <c r="O895" s="200"/>
      <c r="Q895" s="240"/>
    </row>
    <row r="896" spans="7:17" x14ac:dyDescent="0.3">
      <c r="G896" s="200"/>
      <c r="H896" s="200"/>
      <c r="I896" s="200"/>
      <c r="J896" s="200"/>
      <c r="K896" s="200"/>
      <c r="M896" s="200"/>
      <c r="O896" s="200"/>
      <c r="Q896" s="240"/>
    </row>
    <row r="897" spans="7:17" x14ac:dyDescent="0.3">
      <c r="G897" s="200"/>
      <c r="H897" s="200"/>
      <c r="I897" s="200"/>
      <c r="J897" s="200"/>
      <c r="K897" s="200"/>
      <c r="M897" s="200"/>
      <c r="O897" s="200"/>
      <c r="Q897" s="240"/>
    </row>
    <row r="898" spans="7:17" x14ac:dyDescent="0.3">
      <c r="G898" s="200"/>
      <c r="H898" s="200"/>
      <c r="I898" s="200"/>
      <c r="J898" s="200"/>
      <c r="K898" s="200"/>
      <c r="M898" s="200"/>
      <c r="O898" s="200"/>
      <c r="Q898" s="240"/>
    </row>
    <row r="899" spans="7:17" x14ac:dyDescent="0.3">
      <c r="G899" s="200"/>
      <c r="H899" s="200"/>
      <c r="I899" s="200"/>
      <c r="J899" s="200"/>
      <c r="K899" s="200"/>
      <c r="M899" s="200"/>
      <c r="O899" s="200"/>
      <c r="Q899" s="240"/>
    </row>
    <row r="900" spans="7:17" x14ac:dyDescent="0.3">
      <c r="G900" s="200"/>
      <c r="H900" s="200"/>
      <c r="I900" s="200"/>
      <c r="J900" s="200"/>
      <c r="K900" s="200"/>
      <c r="M900" s="200"/>
      <c r="O900" s="200"/>
      <c r="Q900" s="240"/>
    </row>
    <row r="901" spans="7:17" x14ac:dyDescent="0.3">
      <c r="G901" s="200"/>
      <c r="H901" s="200"/>
      <c r="I901" s="200"/>
      <c r="J901" s="200"/>
      <c r="K901" s="200"/>
      <c r="M901" s="200"/>
      <c r="O901" s="200"/>
      <c r="Q901" s="240"/>
    </row>
    <row r="902" spans="7:17" x14ac:dyDescent="0.3">
      <c r="G902" s="200"/>
      <c r="H902" s="200"/>
      <c r="I902" s="200"/>
      <c r="J902" s="200"/>
      <c r="K902" s="200"/>
      <c r="M902" s="200"/>
      <c r="O902" s="200"/>
      <c r="Q902" s="240"/>
    </row>
    <row r="903" spans="7:17" x14ac:dyDescent="0.3">
      <c r="G903" s="200"/>
      <c r="H903" s="200"/>
      <c r="I903" s="200"/>
      <c r="J903" s="200"/>
      <c r="K903" s="200"/>
      <c r="M903" s="200"/>
      <c r="O903" s="200"/>
      <c r="Q903" s="240"/>
    </row>
    <row r="904" spans="7:17" x14ac:dyDescent="0.3">
      <c r="G904" s="200"/>
      <c r="H904" s="200"/>
      <c r="I904" s="200"/>
      <c r="J904" s="200"/>
      <c r="K904" s="200"/>
      <c r="M904" s="200"/>
      <c r="O904" s="200"/>
      <c r="Q904" s="240"/>
    </row>
    <row r="905" spans="7:17" x14ac:dyDescent="0.3">
      <c r="G905" s="200"/>
      <c r="H905" s="200"/>
      <c r="I905" s="200"/>
      <c r="J905" s="200"/>
      <c r="K905" s="200"/>
      <c r="M905" s="200"/>
      <c r="O905" s="200"/>
      <c r="Q905" s="240"/>
    </row>
    <row r="906" spans="7:17" x14ac:dyDescent="0.3">
      <c r="G906" s="200"/>
      <c r="H906" s="200"/>
      <c r="I906" s="200"/>
      <c r="J906" s="200"/>
      <c r="K906" s="200"/>
      <c r="M906" s="200"/>
      <c r="O906" s="200"/>
      <c r="Q906" s="240"/>
    </row>
    <row r="907" spans="7:17" x14ac:dyDescent="0.3">
      <c r="G907" s="200"/>
      <c r="H907" s="200"/>
      <c r="I907" s="200"/>
      <c r="J907" s="200"/>
      <c r="K907" s="200"/>
      <c r="M907" s="200"/>
      <c r="O907" s="200"/>
      <c r="Q907" s="240"/>
    </row>
    <row r="908" spans="7:17" x14ac:dyDescent="0.3">
      <c r="G908" s="200"/>
      <c r="H908" s="200"/>
      <c r="I908" s="200"/>
      <c r="J908" s="200"/>
      <c r="K908" s="200"/>
      <c r="M908" s="200"/>
      <c r="O908" s="200"/>
      <c r="Q908" s="240"/>
    </row>
    <row r="909" spans="7:17" x14ac:dyDescent="0.3">
      <c r="G909" s="200"/>
      <c r="H909" s="200"/>
      <c r="I909" s="200"/>
      <c r="J909" s="200"/>
      <c r="K909" s="200"/>
      <c r="M909" s="200"/>
      <c r="O909" s="200"/>
      <c r="Q909" s="240"/>
    </row>
    <row r="910" spans="7:17" x14ac:dyDescent="0.3">
      <c r="G910" s="200"/>
      <c r="H910" s="200"/>
      <c r="I910" s="200"/>
      <c r="J910" s="200"/>
      <c r="K910" s="200"/>
      <c r="M910" s="200"/>
      <c r="O910" s="200"/>
      <c r="Q910" s="240"/>
    </row>
    <row r="911" spans="7:17" x14ac:dyDescent="0.3">
      <c r="G911" s="200"/>
      <c r="H911" s="200"/>
      <c r="I911" s="200"/>
      <c r="J911" s="200"/>
      <c r="K911" s="200"/>
      <c r="M911" s="200"/>
      <c r="O911" s="200"/>
      <c r="Q911" s="240"/>
    </row>
    <row r="912" spans="7:17" x14ac:dyDescent="0.3">
      <c r="G912" s="200"/>
      <c r="H912" s="200"/>
      <c r="I912" s="200"/>
      <c r="J912" s="200"/>
      <c r="K912" s="200"/>
      <c r="M912" s="200"/>
      <c r="O912" s="200"/>
      <c r="Q912" s="240"/>
    </row>
    <row r="913" spans="7:17" x14ac:dyDescent="0.3">
      <c r="G913" s="200"/>
      <c r="H913" s="200"/>
      <c r="I913" s="200"/>
      <c r="J913" s="200"/>
      <c r="K913" s="200"/>
      <c r="M913" s="200"/>
      <c r="O913" s="200"/>
      <c r="Q913" s="240"/>
    </row>
    <row r="914" spans="7:17" x14ac:dyDescent="0.3">
      <c r="G914" s="200"/>
      <c r="H914" s="200"/>
      <c r="I914" s="200"/>
      <c r="J914" s="200"/>
      <c r="K914" s="200"/>
      <c r="M914" s="200"/>
      <c r="O914" s="200"/>
      <c r="Q914" s="240"/>
    </row>
    <row r="915" spans="7:17" x14ac:dyDescent="0.3">
      <c r="G915" s="200"/>
      <c r="H915" s="200"/>
      <c r="I915" s="200"/>
      <c r="J915" s="200"/>
      <c r="K915" s="200"/>
      <c r="M915" s="200"/>
      <c r="O915" s="200"/>
      <c r="Q915" s="240"/>
    </row>
    <row r="916" spans="7:17" x14ac:dyDescent="0.3">
      <c r="G916" s="200"/>
      <c r="H916" s="200"/>
      <c r="I916" s="200"/>
      <c r="J916" s="200"/>
      <c r="K916" s="200"/>
      <c r="M916" s="200"/>
      <c r="O916" s="200"/>
      <c r="Q916" s="240"/>
    </row>
    <row r="917" spans="7:17" x14ac:dyDescent="0.3">
      <c r="G917" s="200"/>
      <c r="H917" s="200"/>
      <c r="I917" s="200"/>
      <c r="J917" s="200"/>
      <c r="K917" s="200"/>
      <c r="M917" s="200"/>
      <c r="O917" s="200"/>
      <c r="Q917" s="240"/>
    </row>
    <row r="918" spans="7:17" x14ac:dyDescent="0.3">
      <c r="G918" s="200"/>
      <c r="H918" s="200"/>
      <c r="I918" s="200"/>
      <c r="J918" s="200"/>
      <c r="K918" s="200"/>
      <c r="M918" s="200"/>
      <c r="O918" s="200"/>
      <c r="Q918" s="240"/>
    </row>
    <row r="919" spans="7:17" x14ac:dyDescent="0.3">
      <c r="G919" s="200"/>
      <c r="H919" s="200"/>
      <c r="I919" s="200"/>
      <c r="J919" s="200"/>
      <c r="K919" s="200"/>
      <c r="M919" s="200"/>
      <c r="O919" s="200"/>
      <c r="Q919" s="240"/>
    </row>
    <row r="920" spans="7:17" x14ac:dyDescent="0.3">
      <c r="G920" s="200"/>
      <c r="H920" s="200"/>
      <c r="I920" s="200"/>
      <c r="J920" s="200"/>
      <c r="K920" s="200"/>
      <c r="M920" s="200"/>
      <c r="O920" s="200"/>
      <c r="Q920" s="240"/>
    </row>
    <row r="921" spans="7:17" x14ac:dyDescent="0.3">
      <c r="G921" s="200"/>
      <c r="H921" s="200"/>
      <c r="I921" s="200"/>
      <c r="J921" s="200"/>
      <c r="K921" s="200"/>
      <c r="M921" s="200"/>
      <c r="O921" s="200"/>
      <c r="Q921" s="240"/>
    </row>
    <row r="922" spans="7:17" x14ac:dyDescent="0.3">
      <c r="G922" s="200"/>
      <c r="H922" s="200"/>
      <c r="I922" s="200"/>
      <c r="J922" s="200"/>
      <c r="K922" s="200"/>
      <c r="M922" s="200"/>
      <c r="O922" s="200"/>
      <c r="Q922" s="240"/>
    </row>
    <row r="923" spans="7:17" x14ac:dyDescent="0.3">
      <c r="G923" s="200"/>
      <c r="H923" s="200"/>
      <c r="I923" s="200"/>
      <c r="J923" s="200"/>
      <c r="K923" s="200"/>
      <c r="M923" s="200"/>
      <c r="O923" s="200"/>
      <c r="Q923" s="240"/>
    </row>
    <row r="924" spans="7:17" x14ac:dyDescent="0.3">
      <c r="G924" s="200"/>
      <c r="H924" s="200"/>
      <c r="I924" s="200"/>
      <c r="J924" s="200"/>
      <c r="K924" s="200"/>
      <c r="M924" s="200"/>
      <c r="O924" s="200"/>
      <c r="Q924" s="240"/>
    </row>
    <row r="925" spans="7:17" x14ac:dyDescent="0.3">
      <c r="G925" s="200"/>
      <c r="H925" s="200"/>
      <c r="I925" s="200"/>
      <c r="J925" s="200"/>
      <c r="K925" s="200"/>
      <c r="M925" s="200"/>
      <c r="O925" s="200"/>
      <c r="Q925" s="240"/>
    </row>
    <row r="926" spans="7:17" x14ac:dyDescent="0.3">
      <c r="G926" s="200"/>
      <c r="H926" s="200"/>
      <c r="I926" s="200"/>
      <c r="J926" s="200"/>
      <c r="K926" s="200"/>
      <c r="M926" s="200"/>
      <c r="O926" s="200"/>
      <c r="Q926" s="240"/>
    </row>
    <row r="927" spans="7:17" x14ac:dyDescent="0.3">
      <c r="G927" s="200"/>
      <c r="H927" s="200"/>
      <c r="I927" s="200"/>
      <c r="J927" s="200"/>
      <c r="K927" s="200"/>
      <c r="M927" s="200"/>
      <c r="O927" s="200"/>
      <c r="Q927" s="240"/>
    </row>
    <row r="928" spans="7:17" x14ac:dyDescent="0.3">
      <c r="G928" s="200"/>
      <c r="H928" s="200"/>
      <c r="I928" s="200"/>
      <c r="J928" s="200"/>
      <c r="K928" s="200"/>
      <c r="M928" s="200"/>
      <c r="O928" s="200"/>
      <c r="Q928" s="240"/>
    </row>
    <row r="929" spans="7:17" x14ac:dyDescent="0.3">
      <c r="G929" s="200"/>
      <c r="H929" s="200"/>
      <c r="I929" s="200"/>
      <c r="J929" s="200"/>
      <c r="K929" s="200"/>
      <c r="M929" s="200"/>
      <c r="O929" s="200"/>
      <c r="Q929" s="240"/>
    </row>
    <row r="930" spans="7:17" x14ac:dyDescent="0.3">
      <c r="G930" s="200"/>
      <c r="H930" s="200"/>
      <c r="I930" s="200"/>
      <c r="J930" s="200"/>
      <c r="K930" s="200"/>
      <c r="M930" s="200"/>
      <c r="O930" s="200"/>
      <c r="Q930" s="240"/>
    </row>
    <row r="931" spans="7:17" x14ac:dyDescent="0.3">
      <c r="G931" s="200"/>
      <c r="H931" s="200"/>
      <c r="I931" s="200"/>
      <c r="J931" s="200"/>
      <c r="K931" s="200"/>
      <c r="M931" s="200"/>
      <c r="O931" s="200"/>
      <c r="Q931" s="240"/>
    </row>
    <row r="932" spans="7:17" x14ac:dyDescent="0.3">
      <c r="G932" s="200"/>
      <c r="H932" s="200"/>
      <c r="I932" s="200"/>
      <c r="J932" s="200"/>
      <c r="K932" s="200"/>
      <c r="M932" s="200"/>
      <c r="O932" s="200"/>
      <c r="Q932" s="240"/>
    </row>
    <row r="933" spans="7:17" x14ac:dyDescent="0.3">
      <c r="G933" s="200"/>
      <c r="H933" s="200"/>
      <c r="I933" s="200"/>
      <c r="J933" s="200"/>
      <c r="K933" s="200"/>
      <c r="M933" s="200"/>
      <c r="O933" s="200"/>
      <c r="Q933" s="240"/>
    </row>
    <row r="934" spans="7:17" x14ac:dyDescent="0.3">
      <c r="G934" s="200"/>
      <c r="H934" s="200"/>
      <c r="I934" s="200"/>
      <c r="J934" s="200"/>
      <c r="K934" s="200"/>
      <c r="M934" s="200"/>
      <c r="O934" s="200"/>
      <c r="Q934" s="240"/>
    </row>
    <row r="935" spans="7:17" x14ac:dyDescent="0.3">
      <c r="G935" s="200"/>
      <c r="H935" s="200"/>
      <c r="I935" s="200"/>
      <c r="J935" s="200"/>
      <c r="K935" s="200"/>
      <c r="M935" s="200"/>
      <c r="O935" s="200"/>
      <c r="Q935" s="240"/>
    </row>
    <row r="936" spans="7:17" x14ac:dyDescent="0.3">
      <c r="G936" s="200"/>
      <c r="H936" s="200"/>
      <c r="I936" s="200"/>
      <c r="J936" s="200"/>
      <c r="K936" s="200"/>
      <c r="M936" s="200"/>
      <c r="O936" s="200"/>
      <c r="Q936" s="240"/>
    </row>
    <row r="937" spans="7:17" x14ac:dyDescent="0.3">
      <c r="G937" s="200"/>
      <c r="H937" s="200"/>
      <c r="I937" s="200"/>
      <c r="J937" s="200"/>
      <c r="K937" s="200"/>
      <c r="M937" s="200"/>
      <c r="O937" s="200"/>
      <c r="Q937" s="240"/>
    </row>
    <row r="938" spans="7:17" x14ac:dyDescent="0.3">
      <c r="G938" s="200"/>
      <c r="H938" s="200"/>
      <c r="I938" s="200"/>
      <c r="J938" s="200"/>
      <c r="K938" s="200"/>
      <c r="M938" s="200"/>
      <c r="O938" s="200"/>
      <c r="Q938" s="240"/>
    </row>
    <row r="939" spans="7:17" x14ac:dyDescent="0.3">
      <c r="G939" s="200"/>
      <c r="H939" s="200"/>
      <c r="I939" s="200"/>
      <c r="J939" s="200"/>
      <c r="K939" s="200"/>
      <c r="M939" s="200"/>
      <c r="O939" s="200"/>
      <c r="Q939" s="240"/>
    </row>
    <row r="940" spans="7:17" x14ac:dyDescent="0.3">
      <c r="G940" s="200"/>
      <c r="H940" s="200"/>
      <c r="I940" s="200"/>
      <c r="J940" s="200"/>
      <c r="K940" s="200"/>
      <c r="M940" s="200"/>
      <c r="O940" s="200"/>
      <c r="Q940" s="240"/>
    </row>
    <row r="941" spans="7:17" x14ac:dyDescent="0.3">
      <c r="G941" s="200"/>
      <c r="H941" s="200"/>
      <c r="I941" s="200"/>
      <c r="J941" s="200"/>
      <c r="K941" s="200"/>
      <c r="M941" s="200"/>
      <c r="O941" s="200"/>
      <c r="Q941" s="240"/>
    </row>
    <row r="942" spans="7:17" x14ac:dyDescent="0.3">
      <c r="G942" s="200"/>
      <c r="H942" s="200"/>
      <c r="I942" s="200"/>
      <c r="J942" s="200"/>
      <c r="K942" s="200"/>
      <c r="M942" s="200"/>
      <c r="O942" s="200"/>
      <c r="Q942" s="240"/>
    </row>
    <row r="943" spans="7:17" x14ac:dyDescent="0.3">
      <c r="G943" s="200"/>
      <c r="H943" s="200"/>
      <c r="I943" s="200"/>
      <c r="J943" s="200"/>
      <c r="K943" s="200"/>
      <c r="M943" s="200"/>
      <c r="O943" s="200"/>
      <c r="Q943" s="240"/>
    </row>
    <row r="944" spans="7:17" x14ac:dyDescent="0.3">
      <c r="G944" s="200"/>
      <c r="H944" s="200"/>
      <c r="I944" s="200"/>
      <c r="J944" s="200"/>
      <c r="K944" s="200"/>
      <c r="M944" s="200"/>
      <c r="O944" s="200"/>
      <c r="Q944" s="240"/>
    </row>
    <row r="945" spans="7:17" x14ac:dyDescent="0.3">
      <c r="G945" s="200"/>
      <c r="H945" s="200"/>
      <c r="I945" s="200"/>
      <c r="J945" s="200"/>
      <c r="K945" s="200"/>
      <c r="M945" s="200"/>
      <c r="O945" s="200"/>
      <c r="Q945" s="240"/>
    </row>
    <row r="946" spans="7:17" x14ac:dyDescent="0.3">
      <c r="G946" s="200"/>
      <c r="H946" s="200"/>
      <c r="I946" s="200"/>
      <c r="J946" s="200"/>
      <c r="K946" s="200"/>
      <c r="M946" s="200"/>
      <c r="O946" s="200"/>
      <c r="Q946" s="240"/>
    </row>
    <row r="947" spans="7:17" x14ac:dyDescent="0.3">
      <c r="G947" s="200"/>
      <c r="H947" s="200"/>
      <c r="I947" s="200"/>
      <c r="J947" s="200"/>
      <c r="K947" s="200"/>
      <c r="M947" s="200"/>
      <c r="O947" s="200"/>
      <c r="Q947" s="240"/>
    </row>
    <row r="948" spans="7:17" x14ac:dyDescent="0.3">
      <c r="G948" s="200"/>
      <c r="H948" s="200"/>
      <c r="I948" s="200"/>
      <c r="J948" s="200"/>
      <c r="K948" s="200"/>
      <c r="M948" s="200"/>
      <c r="O948" s="200"/>
      <c r="Q948" s="240"/>
    </row>
    <row r="949" spans="7:17" x14ac:dyDescent="0.3">
      <c r="G949" s="200"/>
      <c r="H949" s="200"/>
      <c r="I949" s="200"/>
      <c r="J949" s="200"/>
      <c r="K949" s="200"/>
      <c r="M949" s="200"/>
      <c r="O949" s="200"/>
      <c r="Q949" s="240"/>
    </row>
    <row r="950" spans="7:17" x14ac:dyDescent="0.3">
      <c r="G950" s="200"/>
      <c r="H950" s="200"/>
      <c r="I950" s="200"/>
      <c r="J950" s="200"/>
      <c r="K950" s="200"/>
      <c r="M950" s="200"/>
      <c r="O950" s="200"/>
      <c r="Q950" s="240"/>
    </row>
    <row r="951" spans="7:17" x14ac:dyDescent="0.3">
      <c r="G951" s="200"/>
      <c r="H951" s="200"/>
      <c r="I951" s="200"/>
      <c r="J951" s="200"/>
      <c r="K951" s="200"/>
      <c r="M951" s="200"/>
      <c r="O951" s="200"/>
      <c r="Q951" s="240"/>
    </row>
    <row r="952" spans="7:17" x14ac:dyDescent="0.3">
      <c r="G952" s="200"/>
      <c r="H952" s="200"/>
      <c r="I952" s="200"/>
      <c r="J952" s="200"/>
      <c r="K952" s="200"/>
      <c r="M952" s="200"/>
      <c r="O952" s="200"/>
      <c r="Q952" s="240"/>
    </row>
    <row r="953" spans="7:17" x14ac:dyDescent="0.3">
      <c r="G953" s="200"/>
      <c r="H953" s="200"/>
      <c r="I953" s="200"/>
      <c r="J953" s="200"/>
      <c r="K953" s="200"/>
      <c r="M953" s="200"/>
      <c r="O953" s="200"/>
      <c r="Q953" s="240"/>
    </row>
    <row r="954" spans="7:17" x14ac:dyDescent="0.3">
      <c r="G954" s="200"/>
      <c r="H954" s="200"/>
      <c r="I954" s="200"/>
      <c r="J954" s="200"/>
      <c r="K954" s="200"/>
      <c r="M954" s="200"/>
      <c r="O954" s="200"/>
      <c r="Q954" s="240"/>
    </row>
    <row r="955" spans="7:17" x14ac:dyDescent="0.3">
      <c r="G955" s="200"/>
      <c r="H955" s="200"/>
      <c r="I955" s="200"/>
      <c r="J955" s="200"/>
      <c r="K955" s="200"/>
      <c r="M955" s="200"/>
      <c r="O955" s="200"/>
      <c r="Q955" s="240"/>
    </row>
    <row r="956" spans="7:17" x14ac:dyDescent="0.3">
      <c r="G956" s="200"/>
      <c r="H956" s="200"/>
      <c r="I956" s="200"/>
      <c r="J956" s="200"/>
      <c r="K956" s="200"/>
      <c r="M956" s="200"/>
      <c r="O956" s="200"/>
      <c r="Q956" s="240"/>
    </row>
    <row r="957" spans="7:17" x14ac:dyDescent="0.3">
      <c r="G957" s="200"/>
      <c r="H957" s="200"/>
      <c r="I957" s="200"/>
      <c r="J957" s="200"/>
      <c r="K957" s="200"/>
      <c r="M957" s="200"/>
      <c r="O957" s="200"/>
      <c r="Q957" s="240"/>
    </row>
    <row r="958" spans="7:17" x14ac:dyDescent="0.3">
      <c r="G958" s="200"/>
      <c r="H958" s="200"/>
      <c r="I958" s="200"/>
      <c r="J958" s="200"/>
      <c r="K958" s="200"/>
      <c r="M958" s="200"/>
      <c r="O958" s="200"/>
      <c r="Q958" s="240"/>
    </row>
    <row r="959" spans="7:17" x14ac:dyDescent="0.3">
      <c r="G959" s="200"/>
      <c r="H959" s="200"/>
      <c r="I959" s="200"/>
      <c r="J959" s="200"/>
      <c r="K959" s="200"/>
      <c r="M959" s="200"/>
      <c r="O959" s="200"/>
      <c r="Q959" s="240"/>
    </row>
    <row r="960" spans="7:17" x14ac:dyDescent="0.3">
      <c r="G960" s="200"/>
      <c r="H960" s="200"/>
      <c r="I960" s="200"/>
      <c r="J960" s="200"/>
      <c r="K960" s="200"/>
      <c r="M960" s="200"/>
      <c r="O960" s="200"/>
      <c r="Q960" s="240"/>
    </row>
    <row r="961" spans="7:17" x14ac:dyDescent="0.3">
      <c r="G961" s="200"/>
      <c r="H961" s="200"/>
      <c r="I961" s="200"/>
      <c r="J961" s="200"/>
      <c r="K961" s="200"/>
      <c r="M961" s="200"/>
      <c r="O961" s="200"/>
      <c r="Q961" s="240"/>
    </row>
    <row r="962" spans="7:17" x14ac:dyDescent="0.3">
      <c r="G962" s="200"/>
      <c r="H962" s="200"/>
      <c r="I962" s="200"/>
      <c r="J962" s="200"/>
      <c r="K962" s="200"/>
      <c r="M962" s="200"/>
      <c r="O962" s="200"/>
      <c r="Q962" s="240"/>
    </row>
    <row r="963" spans="7:17" x14ac:dyDescent="0.3">
      <c r="G963" s="200"/>
      <c r="H963" s="200"/>
      <c r="I963" s="200"/>
      <c r="J963" s="200"/>
      <c r="K963" s="200"/>
      <c r="M963" s="200"/>
      <c r="O963" s="200"/>
      <c r="Q963" s="240"/>
    </row>
    <row r="964" spans="7:17" x14ac:dyDescent="0.3">
      <c r="G964" s="200"/>
      <c r="H964" s="200"/>
      <c r="I964" s="200"/>
      <c r="J964" s="200"/>
      <c r="K964" s="200"/>
      <c r="M964" s="200"/>
      <c r="O964" s="200"/>
      <c r="Q964" s="240"/>
    </row>
    <row r="965" spans="7:17" x14ac:dyDescent="0.3">
      <c r="G965" s="200"/>
      <c r="H965" s="200"/>
      <c r="I965" s="200"/>
      <c r="J965" s="200"/>
      <c r="K965" s="200"/>
      <c r="M965" s="200"/>
      <c r="O965" s="200"/>
      <c r="Q965" s="240"/>
    </row>
    <row r="966" spans="7:17" x14ac:dyDescent="0.3">
      <c r="G966" s="200"/>
      <c r="H966" s="200"/>
      <c r="I966" s="200"/>
      <c r="J966" s="200"/>
      <c r="K966" s="200"/>
      <c r="M966" s="200"/>
      <c r="O966" s="200"/>
      <c r="Q966" s="240"/>
    </row>
    <row r="967" spans="7:17" x14ac:dyDescent="0.3">
      <c r="G967" s="200"/>
      <c r="H967" s="200"/>
      <c r="I967" s="200"/>
      <c r="J967" s="200"/>
      <c r="K967" s="200"/>
      <c r="M967" s="200"/>
      <c r="O967" s="200"/>
      <c r="Q967" s="240"/>
    </row>
    <row r="968" spans="7:17" x14ac:dyDescent="0.3">
      <c r="G968" s="200"/>
      <c r="H968" s="200"/>
      <c r="I968" s="200"/>
      <c r="J968" s="200"/>
      <c r="K968" s="200"/>
      <c r="M968" s="200"/>
      <c r="O968" s="200"/>
      <c r="Q968" s="240"/>
    </row>
    <row r="969" spans="7:17" x14ac:dyDescent="0.3">
      <c r="G969" s="200"/>
      <c r="H969" s="200"/>
      <c r="I969" s="200"/>
      <c r="J969" s="200"/>
      <c r="K969" s="200"/>
      <c r="M969" s="200"/>
      <c r="O969" s="200"/>
      <c r="Q969" s="240"/>
    </row>
    <row r="970" spans="7:17" x14ac:dyDescent="0.3">
      <c r="G970" s="200"/>
      <c r="H970" s="200"/>
      <c r="I970" s="200"/>
      <c r="J970" s="200"/>
      <c r="K970" s="200"/>
      <c r="M970" s="200"/>
      <c r="O970" s="200"/>
      <c r="Q970" s="240"/>
    </row>
    <row r="971" spans="7:17" x14ac:dyDescent="0.3">
      <c r="G971" s="200"/>
      <c r="H971" s="200"/>
      <c r="I971" s="200"/>
      <c r="J971" s="200"/>
      <c r="K971" s="200"/>
      <c r="M971" s="200"/>
      <c r="O971" s="200"/>
      <c r="Q971" s="240"/>
    </row>
    <row r="972" spans="7:17" x14ac:dyDescent="0.3">
      <c r="G972" s="200"/>
      <c r="H972" s="200"/>
      <c r="I972" s="200"/>
      <c r="J972" s="200"/>
      <c r="K972" s="200"/>
      <c r="M972" s="200"/>
      <c r="O972" s="200"/>
      <c r="Q972" s="240"/>
    </row>
    <row r="973" spans="7:17" x14ac:dyDescent="0.3">
      <c r="G973" s="200"/>
      <c r="H973" s="200"/>
      <c r="I973" s="200"/>
      <c r="J973" s="200"/>
      <c r="K973" s="200"/>
      <c r="M973" s="200"/>
      <c r="O973" s="200"/>
      <c r="Q973" s="240"/>
    </row>
    <row r="974" spans="7:17" x14ac:dyDescent="0.3">
      <c r="G974" s="200"/>
      <c r="H974" s="200"/>
      <c r="I974" s="200"/>
      <c r="J974" s="200"/>
      <c r="K974" s="200"/>
      <c r="M974" s="200"/>
      <c r="O974" s="200"/>
      <c r="Q974" s="240"/>
    </row>
    <row r="975" spans="7:17" x14ac:dyDescent="0.3">
      <c r="G975" s="200"/>
      <c r="H975" s="200"/>
      <c r="I975" s="200"/>
      <c r="J975" s="200"/>
      <c r="K975" s="200"/>
      <c r="M975" s="200"/>
      <c r="O975" s="200"/>
      <c r="Q975" s="240"/>
    </row>
    <row r="976" spans="7:17" x14ac:dyDescent="0.3">
      <c r="G976" s="200"/>
      <c r="H976" s="200"/>
      <c r="I976" s="200"/>
      <c r="J976" s="200"/>
      <c r="K976" s="200"/>
      <c r="M976" s="200"/>
      <c r="O976" s="200"/>
      <c r="Q976" s="240"/>
    </row>
    <row r="977" spans="7:17" x14ac:dyDescent="0.3">
      <c r="G977" s="200"/>
      <c r="H977" s="200"/>
      <c r="I977" s="200"/>
      <c r="J977" s="200"/>
      <c r="K977" s="200"/>
      <c r="M977" s="200"/>
      <c r="O977" s="200"/>
      <c r="Q977" s="240"/>
    </row>
    <row r="978" spans="7:17" x14ac:dyDescent="0.3">
      <c r="G978" s="200"/>
      <c r="H978" s="200"/>
      <c r="I978" s="200"/>
      <c r="J978" s="200"/>
      <c r="K978" s="200"/>
      <c r="M978" s="200"/>
      <c r="O978" s="200"/>
      <c r="Q978" s="240"/>
    </row>
    <row r="979" spans="7:17" x14ac:dyDescent="0.3">
      <c r="G979" s="200"/>
      <c r="H979" s="200"/>
      <c r="I979" s="200"/>
      <c r="J979" s="200"/>
      <c r="K979" s="200"/>
      <c r="M979" s="200"/>
      <c r="O979" s="200"/>
      <c r="Q979" s="240"/>
    </row>
    <row r="980" spans="7:17" x14ac:dyDescent="0.3">
      <c r="G980" s="200"/>
      <c r="H980" s="200"/>
      <c r="I980" s="200"/>
      <c r="J980" s="200"/>
      <c r="K980" s="200"/>
      <c r="M980" s="200"/>
      <c r="O980" s="200"/>
      <c r="Q980" s="240"/>
    </row>
    <row r="981" spans="7:17" x14ac:dyDescent="0.3">
      <c r="G981" s="200"/>
      <c r="H981" s="200"/>
      <c r="I981" s="200"/>
      <c r="J981" s="200"/>
      <c r="K981" s="200"/>
      <c r="M981" s="200"/>
      <c r="O981" s="200"/>
      <c r="Q981" s="240"/>
    </row>
    <row r="982" spans="7:17" x14ac:dyDescent="0.3">
      <c r="G982" s="200"/>
      <c r="H982" s="200"/>
      <c r="I982" s="200"/>
      <c r="J982" s="200"/>
      <c r="K982" s="200"/>
      <c r="M982" s="200"/>
      <c r="O982" s="200"/>
      <c r="Q982" s="240"/>
    </row>
    <row r="983" spans="7:17" x14ac:dyDescent="0.3">
      <c r="G983" s="200"/>
      <c r="H983" s="200"/>
      <c r="I983" s="200"/>
      <c r="J983" s="200"/>
      <c r="K983" s="200"/>
      <c r="M983" s="200"/>
      <c r="O983" s="200"/>
      <c r="Q983" s="240"/>
    </row>
    <row r="984" spans="7:17" x14ac:dyDescent="0.3">
      <c r="G984" s="200"/>
      <c r="H984" s="200"/>
      <c r="I984" s="200"/>
      <c r="J984" s="200"/>
      <c r="K984" s="200"/>
      <c r="M984" s="200"/>
      <c r="O984" s="200"/>
      <c r="Q984" s="240"/>
    </row>
    <row r="985" spans="7:17" x14ac:dyDescent="0.3">
      <c r="G985" s="200"/>
      <c r="H985" s="200"/>
      <c r="I985" s="200"/>
      <c r="J985" s="200"/>
      <c r="K985" s="200"/>
      <c r="M985" s="200"/>
      <c r="O985" s="200"/>
      <c r="Q985" s="240"/>
    </row>
    <row r="986" spans="7:17" x14ac:dyDescent="0.3">
      <c r="G986" s="200"/>
      <c r="H986" s="200"/>
      <c r="I986" s="200"/>
      <c r="J986" s="200"/>
      <c r="K986" s="200"/>
      <c r="M986" s="200"/>
      <c r="O986" s="200"/>
      <c r="Q986" s="240"/>
    </row>
    <row r="987" spans="7:17" x14ac:dyDescent="0.3">
      <c r="G987" s="200"/>
      <c r="H987" s="200"/>
      <c r="I987" s="200"/>
      <c r="J987" s="200"/>
      <c r="K987" s="200"/>
      <c r="M987" s="200"/>
      <c r="O987" s="200"/>
      <c r="Q987" s="240"/>
    </row>
    <row r="988" spans="7:17" x14ac:dyDescent="0.3">
      <c r="G988" s="200"/>
      <c r="H988" s="200"/>
      <c r="I988" s="200"/>
      <c r="J988" s="200"/>
      <c r="K988" s="200"/>
      <c r="M988" s="200"/>
      <c r="O988" s="200"/>
      <c r="Q988" s="240"/>
    </row>
    <row r="989" spans="7:17" x14ac:dyDescent="0.3">
      <c r="G989" s="200"/>
      <c r="H989" s="200"/>
      <c r="I989" s="200"/>
      <c r="J989" s="200"/>
      <c r="K989" s="200"/>
      <c r="M989" s="200"/>
      <c r="O989" s="200"/>
      <c r="Q989" s="240"/>
    </row>
    <row r="990" spans="7:17" x14ac:dyDescent="0.3">
      <c r="G990" s="200"/>
      <c r="H990" s="200"/>
      <c r="I990" s="200"/>
      <c r="J990" s="200"/>
      <c r="K990" s="200"/>
      <c r="M990" s="200"/>
      <c r="O990" s="200"/>
      <c r="Q990" s="240"/>
    </row>
    <row r="991" spans="7:17" x14ac:dyDescent="0.3">
      <c r="G991" s="200"/>
      <c r="H991" s="200"/>
      <c r="I991" s="200"/>
      <c r="J991" s="200"/>
      <c r="K991" s="200"/>
      <c r="M991" s="200"/>
      <c r="O991" s="200"/>
      <c r="Q991" s="240"/>
    </row>
    <row r="992" spans="7:17" x14ac:dyDescent="0.3">
      <c r="G992" s="200"/>
      <c r="H992" s="200"/>
      <c r="I992" s="200"/>
      <c r="J992" s="200"/>
      <c r="K992" s="200"/>
      <c r="M992" s="200"/>
      <c r="O992" s="200"/>
      <c r="Q992" s="240"/>
    </row>
    <row r="993" spans="7:17" x14ac:dyDescent="0.3">
      <c r="G993" s="200"/>
      <c r="H993" s="200"/>
      <c r="I993" s="200"/>
      <c r="J993" s="200"/>
      <c r="K993" s="200"/>
      <c r="M993" s="200"/>
      <c r="O993" s="200"/>
      <c r="Q993" s="240"/>
    </row>
    <row r="994" spans="7:17" x14ac:dyDescent="0.3">
      <c r="G994" s="200"/>
      <c r="H994" s="200"/>
      <c r="I994" s="200"/>
      <c r="J994" s="200"/>
      <c r="K994" s="200"/>
      <c r="M994" s="200"/>
      <c r="O994" s="200"/>
      <c r="Q994" s="240"/>
    </row>
    <row r="995" spans="7:17" x14ac:dyDescent="0.3">
      <c r="G995" s="200"/>
      <c r="H995" s="200"/>
      <c r="I995" s="200"/>
      <c r="J995" s="200"/>
      <c r="K995" s="200"/>
      <c r="M995" s="200"/>
      <c r="O995" s="200"/>
      <c r="Q995" s="240"/>
    </row>
    <row r="996" spans="7:17" x14ac:dyDescent="0.3">
      <c r="G996" s="200"/>
      <c r="H996" s="200"/>
      <c r="I996" s="200"/>
      <c r="J996" s="200"/>
      <c r="K996" s="200"/>
      <c r="M996" s="200"/>
      <c r="O996" s="200"/>
      <c r="Q996" s="240"/>
    </row>
    <row r="997" spans="7:17" x14ac:dyDescent="0.3">
      <c r="G997" s="200"/>
      <c r="H997" s="200"/>
      <c r="I997" s="200"/>
      <c r="J997" s="200"/>
      <c r="K997" s="200"/>
      <c r="M997" s="200"/>
      <c r="O997" s="200"/>
      <c r="Q997" s="240"/>
    </row>
    <row r="998" spans="7:17" x14ac:dyDescent="0.3">
      <c r="G998" s="200"/>
      <c r="H998" s="200"/>
      <c r="I998" s="200"/>
      <c r="J998" s="200"/>
      <c r="K998" s="200"/>
      <c r="M998" s="200"/>
      <c r="O998" s="200"/>
      <c r="Q998" s="240"/>
    </row>
    <row r="999" spans="7:17" x14ac:dyDescent="0.3">
      <c r="G999" s="200"/>
      <c r="H999" s="200"/>
      <c r="I999" s="200"/>
      <c r="J999" s="200"/>
      <c r="K999" s="200"/>
      <c r="M999" s="200"/>
      <c r="O999" s="200"/>
      <c r="Q999" s="240"/>
    </row>
    <row r="1000" spans="7:17" x14ac:dyDescent="0.3">
      <c r="G1000" s="200"/>
      <c r="H1000" s="200"/>
      <c r="I1000" s="200"/>
      <c r="J1000" s="200"/>
      <c r="K1000" s="200"/>
      <c r="M1000" s="200"/>
      <c r="O1000" s="200"/>
      <c r="Q1000" s="240"/>
    </row>
  </sheetData>
  <sheetProtection formatCells="0" formatColumns="0" formatRows="0" insertColumns="0" insertRows="0" insertHyperlinks="0" deleteColumns="0" deleteRows="0" sort="0" autoFilter="0" pivotTables="0"/>
  <mergeCells count="2">
    <mergeCell ref="B1:O2"/>
    <mergeCell ref="B4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54"/>
  <sheetViews>
    <sheetView workbookViewId="0">
      <pane xSplit="5" ySplit="7" topLeftCell="O40" activePane="bottomRight" state="frozen"/>
      <selection pane="topRight"/>
      <selection pane="bottomLeft"/>
      <selection pane="bottomRight" activeCell="X53" sqref="X53"/>
    </sheetView>
  </sheetViews>
  <sheetFormatPr defaultRowHeight="14.4" x14ac:dyDescent="0.3"/>
  <cols>
    <col min="1" max="1" width="1.6640625" customWidth="1"/>
    <col min="2" max="2" width="0" hidden="1" customWidth="1"/>
    <col min="3" max="3" width="9.109375" customWidth="1"/>
    <col min="4" max="4" width="46.5546875" customWidth="1"/>
    <col min="5" max="5" width="0" hidden="1" customWidth="1"/>
    <col min="6" max="6" width="1.6640625" customWidth="1"/>
    <col min="7" max="12" width="12.6640625" customWidth="1"/>
    <col min="13" max="13" width="1.6640625" customWidth="1"/>
    <col min="14" max="14" width="12.6640625" customWidth="1"/>
    <col min="15" max="16" width="12.6640625" style="84" customWidth="1"/>
    <col min="17" max="17" width="12.6640625" style="88" customWidth="1"/>
    <col min="18" max="18" width="12.6640625" style="84" customWidth="1"/>
    <col min="19" max="19" width="1.6640625" style="84" customWidth="1"/>
    <col min="20" max="20" width="12.6640625" customWidth="1"/>
    <col min="21" max="21" width="12.6640625" style="85" customWidth="1"/>
    <col min="22" max="22" width="12.6640625" customWidth="1"/>
    <col min="23" max="23" width="12.6640625" style="86" customWidth="1"/>
    <col min="24" max="24" width="12.6640625" style="87" customWidth="1"/>
    <col min="25" max="25" width="12.6640625" style="86" customWidth="1"/>
    <col min="26" max="27" width="12.6640625" customWidth="1"/>
    <col min="28" max="28" width="1.6640625" customWidth="1"/>
    <col min="29" max="29" width="9.109375" customWidth="1"/>
  </cols>
  <sheetData>
    <row r="1" spans="1:28" x14ac:dyDescent="0.3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47"/>
      <c r="P1" s="147"/>
      <c r="Q1" s="148"/>
      <c r="R1" s="147"/>
      <c r="S1" s="147"/>
      <c r="T1" s="13"/>
      <c r="U1" s="149"/>
      <c r="V1" s="13"/>
      <c r="W1" s="150"/>
      <c r="X1" s="140"/>
      <c r="Y1" s="150"/>
      <c r="Z1" s="13"/>
      <c r="AA1" s="13"/>
      <c r="AB1" s="13"/>
    </row>
    <row r="2" spans="1:28" x14ac:dyDescent="0.3">
      <c r="A2" s="13"/>
      <c r="C2" s="285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7"/>
      <c r="AB2" s="13"/>
    </row>
    <row r="3" spans="1:28" x14ac:dyDescent="0.3">
      <c r="A3" s="13"/>
      <c r="C3" s="288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90"/>
      <c r="AB3" s="13"/>
    </row>
    <row r="4" spans="1:28" x14ac:dyDescent="0.3">
      <c r="A4" s="13"/>
      <c r="C4" s="291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3"/>
      <c r="AB4" s="13"/>
    </row>
    <row r="5" spans="1:28" ht="15.75" customHeigh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47"/>
      <c r="P5" s="147"/>
      <c r="Q5" s="148"/>
      <c r="R5" s="147"/>
      <c r="S5" s="147"/>
      <c r="T5" s="13"/>
      <c r="U5" s="149"/>
      <c r="V5" s="13"/>
      <c r="W5" s="150"/>
      <c r="X5" s="140"/>
      <c r="Y5" s="150"/>
      <c r="Z5" s="13"/>
      <c r="AA5" s="13"/>
      <c r="AB5" s="13"/>
    </row>
    <row r="6" spans="1:28" ht="15.75" customHeight="1" x14ac:dyDescent="0.3">
      <c r="A6" s="13"/>
      <c r="C6" s="13"/>
      <c r="D6" s="13"/>
      <c r="F6" s="13"/>
      <c r="G6" s="297" t="s">
        <v>863</v>
      </c>
      <c r="H6" s="298"/>
      <c r="I6" s="298"/>
      <c r="J6" s="298"/>
      <c r="K6" s="298"/>
      <c r="L6" s="299"/>
      <c r="M6" s="13"/>
      <c r="N6" s="297" t="s">
        <v>864</v>
      </c>
      <c r="O6" s="298"/>
      <c r="P6" s="298"/>
      <c r="Q6" s="298"/>
      <c r="R6" s="299"/>
      <c r="S6" s="13"/>
      <c r="T6" s="294" t="s">
        <v>865</v>
      </c>
      <c r="U6" s="295"/>
      <c r="V6" s="295"/>
      <c r="W6" s="295"/>
      <c r="X6" s="295"/>
      <c r="Y6" s="295"/>
      <c r="Z6" s="295"/>
      <c r="AA6" s="296"/>
      <c r="AB6" s="13"/>
    </row>
    <row r="7" spans="1:28" ht="75" customHeight="1" x14ac:dyDescent="0.3">
      <c r="A7" s="13"/>
      <c r="B7" t="s">
        <v>866</v>
      </c>
      <c r="C7" s="115" t="s">
        <v>110</v>
      </c>
      <c r="D7" s="116" t="s">
        <v>111</v>
      </c>
      <c r="E7" s="108" t="s">
        <v>867</v>
      </c>
      <c r="F7" s="151"/>
      <c r="G7" s="169" t="s">
        <v>868</v>
      </c>
      <c r="H7" s="117" t="s">
        <v>869</v>
      </c>
      <c r="I7" s="117" t="s">
        <v>870</v>
      </c>
      <c r="J7" s="117" t="s">
        <v>871</v>
      </c>
      <c r="K7" s="170" t="s">
        <v>872</v>
      </c>
      <c r="L7" s="171" t="s">
        <v>873</v>
      </c>
      <c r="M7" s="152"/>
      <c r="N7" s="118" t="s">
        <v>874</v>
      </c>
      <c r="O7" s="119" t="s">
        <v>875</v>
      </c>
      <c r="P7" s="120" t="s">
        <v>876</v>
      </c>
      <c r="Q7" s="121" t="s">
        <v>877</v>
      </c>
      <c r="R7" s="122" t="s">
        <v>878</v>
      </c>
      <c r="S7" s="152"/>
      <c r="T7" s="123" t="s">
        <v>879</v>
      </c>
      <c r="U7" s="117" t="s">
        <v>880</v>
      </c>
      <c r="V7" s="124" t="s">
        <v>881</v>
      </c>
      <c r="W7" s="125" t="s">
        <v>882</v>
      </c>
      <c r="X7" s="124" t="s">
        <v>883</v>
      </c>
      <c r="Y7" s="117" t="s">
        <v>884</v>
      </c>
      <c r="Z7" s="117" t="s">
        <v>885</v>
      </c>
      <c r="AA7" s="126" t="s">
        <v>886</v>
      </c>
      <c r="AB7" s="13"/>
    </row>
    <row r="8" spans="1:28" x14ac:dyDescent="0.3">
      <c r="A8" s="13"/>
      <c r="B8" s="13"/>
      <c r="C8" s="127"/>
      <c r="D8" s="128"/>
      <c r="E8" s="13"/>
      <c r="F8" s="13"/>
      <c r="G8" s="172"/>
      <c r="H8" s="129"/>
      <c r="I8" s="129"/>
      <c r="J8" s="129"/>
      <c r="K8" s="173"/>
      <c r="L8" s="174"/>
      <c r="M8" s="13"/>
      <c r="N8" s="130"/>
      <c r="O8" s="131"/>
      <c r="P8" s="131"/>
      <c r="Q8" s="132"/>
      <c r="R8" s="133"/>
      <c r="S8" s="13"/>
      <c r="T8" s="134"/>
      <c r="U8" s="135"/>
      <c r="V8" s="136"/>
      <c r="W8" s="137"/>
      <c r="X8" s="136"/>
      <c r="Y8" s="138"/>
      <c r="Z8" s="138"/>
      <c r="AA8" s="139"/>
      <c r="AB8" s="13"/>
    </row>
    <row r="9" spans="1:28" x14ac:dyDescent="0.3">
      <c r="A9" s="13"/>
      <c r="C9" s="109"/>
      <c r="D9" s="110"/>
      <c r="E9" s="90"/>
      <c r="F9" s="13"/>
      <c r="G9" s="175"/>
      <c r="H9" s="91"/>
      <c r="I9" s="91"/>
      <c r="J9" s="91"/>
      <c r="K9" s="176"/>
      <c r="L9" s="177"/>
      <c r="M9" s="13"/>
      <c r="N9" s="102"/>
      <c r="O9" s="92"/>
      <c r="P9" s="92"/>
      <c r="Q9" s="93"/>
      <c r="R9" s="103"/>
      <c r="S9" s="13"/>
      <c r="T9" s="105"/>
      <c r="U9" s="94"/>
      <c r="V9" s="95"/>
      <c r="W9" s="96"/>
      <c r="X9" s="95"/>
      <c r="Y9" s="97"/>
      <c r="Z9" s="97"/>
      <c r="AA9" s="106"/>
      <c r="AB9" s="13"/>
    </row>
    <row r="10" spans="1:28" x14ac:dyDescent="0.3">
      <c r="A10" s="13"/>
      <c r="B10" s="89"/>
      <c r="C10" s="109"/>
      <c r="D10" s="110" t="s">
        <v>887</v>
      </c>
      <c r="E10" s="90"/>
      <c r="F10" s="13"/>
      <c r="G10" s="175"/>
      <c r="H10" s="91"/>
      <c r="I10" s="91"/>
      <c r="J10" s="91"/>
      <c r="K10" s="178">
        <f>SUM(K13:K53)</f>
        <v>27.180499999999999</v>
      </c>
      <c r="L10" s="179">
        <f>SUM(L13:L53)</f>
        <v>1</v>
      </c>
      <c r="M10" s="13"/>
      <c r="N10" s="102"/>
      <c r="O10" s="92"/>
      <c r="P10" s="92"/>
      <c r="Q10" s="93">
        <f>SUM(Q13:Q53)</f>
        <v>1744.9000000000003</v>
      </c>
      <c r="R10" s="104">
        <f>SUM(R13:R53)</f>
        <v>0.99999999999999978</v>
      </c>
      <c r="S10" s="13"/>
      <c r="T10" s="107">
        <f t="shared" ref="T10:Z10" si="0">SUM(T13:T53)</f>
        <v>22.97356400553398</v>
      </c>
      <c r="U10" s="98">
        <f t="shared" si="0"/>
        <v>27.966425616533982</v>
      </c>
      <c r="V10" s="98">
        <f t="shared" si="0"/>
        <v>6.6495343734932195</v>
      </c>
      <c r="W10" s="98">
        <f t="shared" si="0"/>
        <v>11.988875503493219</v>
      </c>
      <c r="X10" s="98">
        <f t="shared" si="0"/>
        <v>1.0896765778039661</v>
      </c>
      <c r="Y10" s="98">
        <f t="shared" si="0"/>
        <v>1.3924548210000003</v>
      </c>
      <c r="Z10" s="98">
        <f t="shared" si="0"/>
        <v>1</v>
      </c>
      <c r="AA10" s="106"/>
      <c r="AB10" s="13"/>
    </row>
    <row r="11" spans="1:28" x14ac:dyDescent="0.3">
      <c r="A11" s="13"/>
      <c r="C11" s="109"/>
      <c r="D11" s="110"/>
      <c r="E11" s="90"/>
      <c r="F11" s="13"/>
      <c r="G11" s="175"/>
      <c r="H11" s="91"/>
      <c r="I11" s="91"/>
      <c r="J11" s="91"/>
      <c r="K11" s="176"/>
      <c r="L11" s="177"/>
      <c r="M11" s="13"/>
      <c r="N11" s="102"/>
      <c r="O11" s="92"/>
      <c r="P11" s="92"/>
      <c r="Q11" s="93"/>
      <c r="R11" s="103"/>
      <c r="S11" s="13"/>
      <c r="T11" s="105"/>
      <c r="U11" s="94"/>
      <c r="V11" s="95"/>
      <c r="W11" s="96"/>
      <c r="X11" s="95"/>
      <c r="Y11" s="97"/>
      <c r="Z11" s="97"/>
      <c r="AA11" s="106"/>
      <c r="AB11" s="13"/>
    </row>
    <row r="12" spans="1:28" x14ac:dyDescent="0.3">
      <c r="A12" s="13"/>
      <c r="B12" s="13"/>
      <c r="C12" s="127"/>
      <c r="D12" s="128"/>
      <c r="E12" s="13"/>
      <c r="F12" s="13"/>
      <c r="G12" s="180"/>
      <c r="H12" s="153"/>
      <c r="I12" s="153"/>
      <c r="J12" s="153"/>
      <c r="K12" s="173"/>
      <c r="L12" s="174"/>
      <c r="M12" s="13"/>
      <c r="N12" s="154"/>
      <c r="O12" s="155"/>
      <c r="P12" s="155"/>
      <c r="Q12" s="132"/>
      <c r="R12" s="133"/>
      <c r="S12" s="13"/>
      <c r="T12" s="141"/>
      <c r="U12" s="142"/>
      <c r="V12" s="143"/>
      <c r="W12" s="144"/>
      <c r="X12" s="143"/>
      <c r="Y12" s="145"/>
      <c r="Z12" s="145"/>
      <c r="AA12" s="146"/>
      <c r="AB12" s="13"/>
    </row>
    <row r="13" spans="1:28" x14ac:dyDescent="0.3">
      <c r="A13" s="13"/>
      <c r="B13">
        <v>3995</v>
      </c>
      <c r="C13" s="111" t="s">
        <v>152</v>
      </c>
      <c r="D13" s="112" t="s">
        <v>153</v>
      </c>
      <c r="E13" t="s">
        <v>888</v>
      </c>
      <c r="F13" s="13"/>
      <c r="G13" s="181">
        <v>0.31519999999999998</v>
      </c>
      <c r="H13" s="86">
        <v>0.49270000000000003</v>
      </c>
      <c r="I13" s="86">
        <v>0.19209999999999999</v>
      </c>
      <c r="J13" s="86">
        <v>0.39</v>
      </c>
      <c r="K13" s="88">
        <f>IF(J13&gt;'DADOS BASE'!$Q$79,'DADOS BASE'!$V$79*J13,
 IF(J13&gt;'DADOS BASE'!$Q$78,'DADOS BASE'!$V$78*J13,
 IF(J13&gt;'DADOS BASE'!$Q$77,'DADOS BASE'!$V$77*J13,
 IF(J13&gt;'DADOS BASE'!$Q$76,'DADOS BASE'!$V$76*J13,'DADOS BASE'!$V$75*J13))))</f>
        <v>0.19500000000000001</v>
      </c>
      <c r="L13" s="99">
        <f t="shared" ref="L13:L53" si="1">K13/$K$10</f>
        <v>7.1742609591435042E-3</v>
      </c>
      <c r="M13" s="13"/>
      <c r="N13" s="160">
        <v>19.97</v>
      </c>
      <c r="O13" s="84">
        <v>6879.47</v>
      </c>
      <c r="P13" s="84">
        <v>344.5</v>
      </c>
      <c r="Q13" s="88">
        <f>IF(N13&gt;'DADOS BASE'!$Q$95,'DADOS BASE'!$V$95*N13,
 IF(N13&gt;'DADOS BASE'!$Q$94,'DADOS BASE'!$V$94*N13,
 IF(N13&gt;'DADOS BASE'!$Q$93,'DADOS BASE'!$V$93*N13,0)))</f>
        <v>19.97</v>
      </c>
      <c r="R13" s="99">
        <f t="shared" ref="R13:R53" si="2">Q13/$Q$10</f>
        <v>1.1444781935927557E-2</v>
      </c>
      <c r="S13" s="13"/>
      <c r="T13" s="156">
        <v>0.58762318000000002</v>
      </c>
      <c r="U13" s="87">
        <f>IF(T13&gt;='DADOS BASE'!$Z$85,'DADOS BASE'!$AA$85*T13,
 IF(T13&gt;='DADOS BASE'!$U$85,'DADOS BASE'!$V$85*T13,
 IF(T13&gt;='DADOS BASE'!$Q$85,'DADOS BASE'!$R$85*T13,0)))</f>
        <v>0.58762318000000002</v>
      </c>
      <c r="V13" s="86">
        <v>0.24246000300000001</v>
      </c>
      <c r="W13" s="87">
        <f>IF(V13&gt;='DADOS BASE'!$Z$86,'DADOS BASE'!$AA$86*V13,
 IF(V13&gt;='DADOS BASE'!$U$86,'DADOS BASE'!$V$86*V13,
 IF(V13&gt;='DADOS BASE'!$Q$86,'DADOS BASE'!$R$86*V13,0)))</f>
        <v>0.60615000750000003</v>
      </c>
      <c r="X13" s="86">
        <v>0</v>
      </c>
      <c r="Y13" s="87">
        <f>IF(X13&gt;='DADOS BASE'!$Z$87,'DADOS BASE'!$AA$87*X13,
 IF(X13&gt;='DADOS BASE'!$U$87,'DADOS BASE'!$V$87*X13,
 IF(X13&gt;='DADOS BASE'!$Q$87,'DADOS BASE'!$R$87*X13,0)))</f>
        <v>0</v>
      </c>
      <c r="Z13" s="86">
        <f>U13/$U$10*'DADOS BASE'!$N$85+
 W13/$W$10*'DADOS BASE'!$N$86+
 Y13/$Y$10*'DADOS BASE'!$N$87</f>
        <v>2.4820090153701607E-2</v>
      </c>
      <c r="AA13" s="99"/>
      <c r="AB13" s="140"/>
    </row>
    <row r="14" spans="1:28" x14ac:dyDescent="0.3">
      <c r="A14" s="13"/>
      <c r="B14">
        <v>3985</v>
      </c>
      <c r="C14" s="111" t="s">
        <v>164</v>
      </c>
      <c r="D14" s="112" t="s">
        <v>165</v>
      </c>
      <c r="E14" t="s">
        <v>889</v>
      </c>
      <c r="F14" s="13"/>
      <c r="G14" s="181">
        <v>0.34920000000000001</v>
      </c>
      <c r="H14" s="86">
        <v>0.50190000000000001</v>
      </c>
      <c r="I14" s="86">
        <v>0.1489</v>
      </c>
      <c r="J14" s="86">
        <v>0.41</v>
      </c>
      <c r="K14" s="88">
        <f>IF(J14&gt;'DADOS BASE'!$Q$79,'DADOS BASE'!$V$79*J14,
 IF(J14&gt;'DADOS BASE'!$Q$78,'DADOS BASE'!$V$78*J14,
 IF(J14&gt;'DADOS BASE'!$Q$77,'DADOS BASE'!$V$77*J14,
 IF(J14&gt;'DADOS BASE'!$Q$76,'DADOS BASE'!$V$76*J14,'DADOS BASE'!$V$75*J14))))</f>
        <v>0.20499999999999999</v>
      </c>
      <c r="L14" s="99">
        <f t="shared" si="1"/>
        <v>7.5421717775611191E-3</v>
      </c>
      <c r="M14" s="13"/>
      <c r="N14" s="160">
        <v>21.61</v>
      </c>
      <c r="O14" s="84">
        <v>21714.34</v>
      </c>
      <c r="P14" s="84">
        <v>1005</v>
      </c>
      <c r="Q14" s="88">
        <f>IF(N14&gt;'DADOS BASE'!$Q$95,'DADOS BASE'!$V$95*N14,
 IF(N14&gt;'DADOS BASE'!$Q$94,'DADOS BASE'!$V$94*N14,
 IF(N14&gt;'DADOS BASE'!$Q$93,'DADOS BASE'!$V$93*N14,0)))</f>
        <v>43.22</v>
      </c>
      <c r="R14" s="99">
        <f t="shared" si="2"/>
        <v>2.476932775517221E-2</v>
      </c>
      <c r="S14" s="13"/>
      <c r="T14" s="156">
        <v>0.76378439099999995</v>
      </c>
      <c r="U14" s="87">
        <f>IF(T14&gt;='DADOS BASE'!$Z$85,'DADOS BASE'!$AA$85*T14,
 IF(T14&gt;='DADOS BASE'!$U$85,'DADOS BASE'!$V$85*T14,
 IF(T14&gt;='DADOS BASE'!$Q$85,'DADOS BASE'!$R$85*T14,0)))</f>
        <v>1.5275687819999999</v>
      </c>
      <c r="V14" s="86">
        <v>7.0707028000000005E-2</v>
      </c>
      <c r="W14" s="87">
        <f>IF(V14&gt;='DADOS BASE'!$Z$86,'DADOS BASE'!$AA$86*V14,
 IF(V14&gt;='DADOS BASE'!$U$86,'DADOS BASE'!$V$86*V14,
 IF(V14&gt;='DADOS BASE'!$Q$86,'DADOS BASE'!$R$86*V14,0)))</f>
        <v>0</v>
      </c>
      <c r="X14" s="86">
        <v>2.3825609000000001E-2</v>
      </c>
      <c r="Y14" s="87">
        <f>IF(X14&gt;='DADOS BASE'!$Z$87,'DADOS BASE'!$AA$87*X14,
 IF(X14&gt;='DADOS BASE'!$U$87,'DADOS BASE'!$V$87*X14,
 IF(X14&gt;='DADOS BASE'!$Q$87,'DADOS BASE'!$R$87*X14,0)))</f>
        <v>0</v>
      </c>
      <c r="Z14" s="86">
        <f>U14/$U$10*'DADOS BASE'!$N$85+
 W14/$W$10*'DADOS BASE'!$N$86+
 Y14/$Y$10*'DADOS BASE'!$N$87</f>
        <v>3.8235066649626545E-2</v>
      </c>
      <c r="AA14" s="99"/>
      <c r="AB14" s="140"/>
    </row>
    <row r="15" spans="1:28" x14ac:dyDescent="0.3">
      <c r="A15" s="13"/>
      <c r="B15">
        <v>3974</v>
      </c>
      <c r="C15" s="111" t="s">
        <v>182</v>
      </c>
      <c r="D15" s="112" t="s">
        <v>183</v>
      </c>
      <c r="E15" t="s">
        <v>890</v>
      </c>
      <c r="F15" s="13"/>
      <c r="G15" s="181">
        <v>0.34010000000000001</v>
      </c>
      <c r="H15" s="86">
        <v>0.28260000000000002</v>
      </c>
      <c r="I15" s="86">
        <v>0.37740000000000001</v>
      </c>
      <c r="J15" s="86">
        <v>0.54600000000000004</v>
      </c>
      <c r="K15" s="88">
        <f>IF(J15&gt;'DADOS BASE'!$Q$79,'DADOS BASE'!$V$79*J15,
 IF(J15&gt;'DADOS BASE'!$Q$78,'DADOS BASE'!$V$78*J15,
 IF(J15&gt;'DADOS BASE'!$Q$77,'DADOS BASE'!$V$77*J15,
 IF(J15&gt;'DADOS BASE'!$Q$76,'DADOS BASE'!$V$76*J15,'DADOS BASE'!$V$75*J15))))</f>
        <v>1.0920000000000001</v>
      </c>
      <c r="L15" s="99">
        <f t="shared" si="1"/>
        <v>4.0175861371203624E-2</v>
      </c>
      <c r="M15" s="13"/>
      <c r="N15" s="160">
        <v>20.02</v>
      </c>
      <c r="O15" s="84">
        <v>18289.259999999998</v>
      </c>
      <c r="P15" s="84">
        <v>913.5</v>
      </c>
      <c r="Q15" s="88">
        <f>IF(N15&gt;'DADOS BASE'!$Q$95,'DADOS BASE'!$V$95*N15,
 IF(N15&gt;'DADOS BASE'!$Q$94,'DADOS BASE'!$V$94*N15,
 IF(N15&gt;'DADOS BASE'!$Q$93,'DADOS BASE'!$V$93*N15,0)))</f>
        <v>40.04</v>
      </c>
      <c r="R15" s="99">
        <f t="shared" si="2"/>
        <v>2.2946873746346491E-2</v>
      </c>
      <c r="S15" s="13"/>
      <c r="T15" s="156">
        <v>0.79816091199999994</v>
      </c>
      <c r="U15" s="87">
        <f>IF(T15&gt;='DADOS BASE'!$Z$85,'DADOS BASE'!$AA$85*T15,
 IF(T15&gt;='DADOS BASE'!$U$85,'DADOS BASE'!$V$85*T15,
 IF(T15&gt;='DADOS BASE'!$Q$85,'DADOS BASE'!$R$85*T15,0)))</f>
        <v>1.5963218239999999</v>
      </c>
      <c r="V15" s="86">
        <v>4.2223044000000001E-2</v>
      </c>
      <c r="W15" s="87">
        <f>IF(V15&gt;='DADOS BASE'!$Z$86,'DADOS BASE'!$AA$86*V15,
 IF(V15&gt;='DADOS BASE'!$U$86,'DADOS BASE'!$V$86*V15,
 IF(V15&gt;='DADOS BASE'!$Q$86,'DADOS BASE'!$R$86*V15,0)))</f>
        <v>0</v>
      </c>
      <c r="X15" s="86">
        <v>5.4738346E-2</v>
      </c>
      <c r="Y15" s="87">
        <f>IF(X15&gt;='DADOS BASE'!$Z$87,'DADOS BASE'!$AA$87*X15,
 IF(X15&gt;='DADOS BASE'!$U$87,'DADOS BASE'!$V$87*X15,
 IF(X15&gt;='DADOS BASE'!$Q$87,'DADOS BASE'!$R$87*X15,0)))</f>
        <v>0.109476692</v>
      </c>
      <c r="Z15" s="86">
        <f>U15/$U$10*'DADOS BASE'!$N$85+
 W15/$W$10*'DADOS BASE'!$N$86+
 Y15/$Y$10*'DADOS BASE'!$N$87</f>
        <v>4.781809220951256E-2</v>
      </c>
      <c r="AA15" s="99"/>
      <c r="AB15" s="140"/>
    </row>
    <row r="16" spans="1:28" x14ac:dyDescent="0.3">
      <c r="A16" s="13"/>
      <c r="B16">
        <v>3999</v>
      </c>
      <c r="C16" s="111" t="s">
        <v>201</v>
      </c>
      <c r="D16" s="112" t="s">
        <v>202</v>
      </c>
      <c r="E16" t="s">
        <v>891</v>
      </c>
      <c r="F16" s="13"/>
      <c r="G16" s="181">
        <v>0.28649999999999998</v>
      </c>
      <c r="H16" s="86">
        <v>0.41699999999999998</v>
      </c>
      <c r="I16" s="86">
        <v>0.29649999999999999</v>
      </c>
      <c r="J16" s="86">
        <v>0.40699999999999997</v>
      </c>
      <c r="K16" s="88">
        <f>IF(J16&gt;'DADOS BASE'!$Q$79,'DADOS BASE'!$V$79*J16,
 IF(J16&gt;'DADOS BASE'!$Q$78,'DADOS BASE'!$V$78*J16,
 IF(J16&gt;'DADOS BASE'!$Q$77,'DADOS BASE'!$V$77*J16,
 IF(J16&gt;'DADOS BASE'!$Q$76,'DADOS BASE'!$V$76*J16,'DADOS BASE'!$V$75*J16))))</f>
        <v>0.20349999999999999</v>
      </c>
      <c r="L16" s="99">
        <f t="shared" si="1"/>
        <v>7.4869851547984768E-3</v>
      </c>
      <c r="M16" s="13"/>
      <c r="N16" s="160">
        <v>18.71</v>
      </c>
      <c r="O16" s="84">
        <v>5501.1</v>
      </c>
      <c r="P16" s="84">
        <v>294</v>
      </c>
      <c r="Q16" s="88">
        <f>IF(N16&gt;'DADOS BASE'!$Q$95,'DADOS BASE'!$V$95*N16,
 IF(N16&gt;'DADOS BASE'!$Q$94,'DADOS BASE'!$V$94*N16,
 IF(N16&gt;'DADOS BASE'!$Q$93,'DADOS BASE'!$V$93*N16,0)))</f>
        <v>18.71</v>
      </c>
      <c r="R16" s="99">
        <f t="shared" si="2"/>
        <v>1.0722677517336236E-2</v>
      </c>
      <c r="S16" s="13"/>
      <c r="T16" s="156">
        <v>0.52860784500000002</v>
      </c>
      <c r="U16" s="87">
        <f>IF(T16&gt;='DADOS BASE'!$Z$85,'DADOS BASE'!$AA$85*T16,
 IF(T16&gt;='DADOS BASE'!$U$85,'DADOS BASE'!$V$85*T16,
 IF(T16&gt;='DADOS BASE'!$Q$85,'DADOS BASE'!$R$85*T16,0)))</f>
        <v>0.52860784500000002</v>
      </c>
      <c r="V16" s="86">
        <v>0.227367291</v>
      </c>
      <c r="W16" s="87">
        <f>IF(V16&gt;='DADOS BASE'!$Z$86,'DADOS BASE'!$AA$86*V16,
 IF(V16&gt;='DADOS BASE'!$U$86,'DADOS BASE'!$V$86*V16,
 IF(V16&gt;='DADOS BASE'!$Q$86,'DADOS BASE'!$R$86*V16,0)))</f>
        <v>0.56841822750000004</v>
      </c>
      <c r="X16" s="86">
        <v>1.0156858E-2</v>
      </c>
      <c r="Y16" s="87">
        <f>IF(X16&gt;='DADOS BASE'!$Z$87,'DADOS BASE'!$AA$87*X16,
 IF(X16&gt;='DADOS BASE'!$U$87,'DADOS BASE'!$V$87*X16,
 IF(X16&gt;='DADOS BASE'!$Q$87,'DADOS BASE'!$R$87*X16,0)))</f>
        <v>0</v>
      </c>
      <c r="Z16" s="86">
        <f>U16/$U$10*'DADOS BASE'!$N$85+
 W16/$W$10*'DADOS BASE'!$N$86+
 Y16/$Y$10*'DADOS BASE'!$N$87</f>
        <v>2.2713489021613784E-2</v>
      </c>
      <c r="AA16" s="99"/>
      <c r="AB16" s="13"/>
    </row>
    <row r="17" spans="1:28" x14ac:dyDescent="0.3">
      <c r="A17" s="13"/>
      <c r="B17">
        <v>4002</v>
      </c>
      <c r="C17" s="111" t="s">
        <v>210</v>
      </c>
      <c r="D17" s="112" t="s">
        <v>211</v>
      </c>
      <c r="E17" t="s">
        <v>892</v>
      </c>
      <c r="F17" s="13"/>
      <c r="G17" s="181">
        <v>0.25419999999999998</v>
      </c>
      <c r="H17" s="86">
        <v>0.47439999999999999</v>
      </c>
      <c r="I17" s="86">
        <v>0.27139999999999997</v>
      </c>
      <c r="J17" s="86">
        <v>0.34899999999999998</v>
      </c>
      <c r="K17" s="88">
        <f>IF(J17&gt;'DADOS BASE'!$Q$79,'DADOS BASE'!$V$79*J17,
 IF(J17&gt;'DADOS BASE'!$Q$78,'DADOS BASE'!$V$78*J17,
 IF(J17&gt;'DADOS BASE'!$Q$77,'DADOS BASE'!$V$77*J17,
 IF(J17&gt;'DADOS BASE'!$Q$76,'DADOS BASE'!$V$76*J17,'DADOS BASE'!$V$75*J17))))</f>
        <v>0.17449999999999999</v>
      </c>
      <c r="L17" s="99">
        <f t="shared" si="1"/>
        <v>6.4200437813873917E-3</v>
      </c>
      <c r="M17" s="13"/>
      <c r="N17" s="160">
        <v>17.46</v>
      </c>
      <c r="O17" s="84">
        <v>14104.21</v>
      </c>
      <c r="P17" s="84">
        <v>808</v>
      </c>
      <c r="Q17" s="88">
        <f>IF(N17&gt;'DADOS BASE'!$Q$95,'DADOS BASE'!$V$95*N17,
 IF(N17&gt;'DADOS BASE'!$Q$94,'DADOS BASE'!$V$94*N17,
 IF(N17&gt;'DADOS BASE'!$Q$93,'DADOS BASE'!$V$93*N17,0)))</f>
        <v>0</v>
      </c>
      <c r="R17" s="99">
        <f t="shared" si="2"/>
        <v>0</v>
      </c>
      <c r="S17" s="13"/>
      <c r="T17" s="156">
        <v>0.75997836100000005</v>
      </c>
      <c r="U17" s="87">
        <f>IF(T17&gt;='DADOS BASE'!$Z$85,'DADOS BASE'!$AA$85*T17,
 IF(T17&gt;='DADOS BASE'!$U$85,'DADOS BASE'!$V$85*T17,
 IF(T17&gt;='DADOS BASE'!$Q$85,'DADOS BASE'!$R$85*T17,0)))</f>
        <v>1.5199567220000001</v>
      </c>
      <c r="V17" s="86">
        <v>0.25380182800000001</v>
      </c>
      <c r="W17" s="87">
        <f>IF(V17&gt;='DADOS BASE'!$Z$86,'DADOS BASE'!$AA$86*V17,
 IF(V17&gt;='DADOS BASE'!$U$86,'DADOS BASE'!$V$86*V17,
 IF(V17&gt;='DADOS BASE'!$Q$86,'DADOS BASE'!$R$86*V17,0)))</f>
        <v>0.63450457000000005</v>
      </c>
      <c r="X17" s="86">
        <v>0.25380182800000001</v>
      </c>
      <c r="Y17" s="87">
        <f>IF(X17&gt;='DADOS BASE'!$Z$87,'DADOS BASE'!$AA$87*X17,
 IF(X17&gt;='DADOS BASE'!$U$87,'DADOS BASE'!$V$87*X17,
 IF(X17&gt;='DADOS BASE'!$Q$87,'DADOS BASE'!$R$87*X17,0)))</f>
        <v>0.63450457000000005</v>
      </c>
      <c r="Z17" s="86">
        <f>U17/$U$10*'DADOS BASE'!$N$85+
 W17/$W$10*'DADOS BASE'!$N$86+
 Y17/$Y$10*'DADOS BASE'!$N$87</f>
        <v>9.4196761704759921E-2</v>
      </c>
      <c r="AA17" s="99"/>
      <c r="AB17" s="13"/>
    </row>
    <row r="18" spans="1:28" x14ac:dyDescent="0.3">
      <c r="A18" s="13"/>
      <c r="B18">
        <v>4000</v>
      </c>
      <c r="C18" s="111" t="s">
        <v>210</v>
      </c>
      <c r="D18" s="112" t="s">
        <v>227</v>
      </c>
      <c r="E18" t="s">
        <v>893</v>
      </c>
      <c r="F18" s="13"/>
      <c r="G18" s="181">
        <v>0.20899999999999999</v>
      </c>
      <c r="H18" s="86">
        <v>0.43619999999999998</v>
      </c>
      <c r="I18" s="86">
        <v>0.3548</v>
      </c>
      <c r="J18" s="86">
        <v>0.33400000000000002</v>
      </c>
      <c r="K18" s="88">
        <f>IF(J18&gt;'DADOS BASE'!$Q$79,'DADOS BASE'!$V$79*J18,
 IF(J18&gt;'DADOS BASE'!$Q$78,'DADOS BASE'!$V$78*J18,
 IF(J18&gt;'DADOS BASE'!$Q$77,'DADOS BASE'!$V$77*J18,
 IF(J18&gt;'DADOS BASE'!$Q$76,'DADOS BASE'!$V$76*J18,'DADOS BASE'!$V$75*J18))))</f>
        <v>0.16700000000000001</v>
      </c>
      <c r="L18" s="99">
        <f t="shared" si="1"/>
        <v>6.1441106675741803E-3</v>
      </c>
      <c r="M18" s="13"/>
      <c r="N18" s="160">
        <v>20.57</v>
      </c>
      <c r="O18" s="84">
        <v>30724.28</v>
      </c>
      <c r="P18" s="84">
        <v>1493.5</v>
      </c>
      <c r="Q18" s="88">
        <f>IF(N18&gt;'DADOS BASE'!$Q$95,'DADOS BASE'!$V$95*N18,
 IF(N18&gt;'DADOS BASE'!$Q$94,'DADOS BASE'!$V$94*N18,
 IF(N18&gt;'DADOS BASE'!$Q$93,'DADOS BASE'!$V$93*N18,0)))</f>
        <v>41.14</v>
      </c>
      <c r="R18" s="99">
        <f t="shared" si="2"/>
        <v>2.3577282365751615E-2</v>
      </c>
      <c r="S18" s="13"/>
      <c r="T18" s="156">
        <v>0.63882208200000001</v>
      </c>
      <c r="U18" s="87">
        <f>IF(T18&gt;='DADOS BASE'!$Z$85,'DADOS BASE'!$AA$85*T18,
 IF(T18&gt;='DADOS BASE'!$U$85,'DADOS BASE'!$V$85*T18,
 IF(T18&gt;='DADOS BASE'!$Q$85,'DADOS BASE'!$R$85*T18,0)))</f>
        <v>1.277644164</v>
      </c>
      <c r="V18" s="86">
        <v>0.123368486</v>
      </c>
      <c r="W18" s="87">
        <f>IF(V18&gt;='DADOS BASE'!$Z$86,'DADOS BASE'!$AA$86*V18,
 IF(V18&gt;='DADOS BASE'!$U$86,'DADOS BASE'!$V$86*V18,
 IF(V18&gt;='DADOS BASE'!$Q$86,'DADOS BASE'!$R$86*V18,0)))</f>
        <v>0.123368486</v>
      </c>
      <c r="X18" s="86">
        <v>9.3621380000000008E-3</v>
      </c>
      <c r="Y18" s="87">
        <f>IF(X18&gt;='DADOS BASE'!$Z$87,'DADOS BASE'!$AA$87*X18,
 IF(X18&gt;='DADOS BASE'!$U$87,'DADOS BASE'!$V$87*X18,
 IF(X18&gt;='DADOS BASE'!$Q$87,'DADOS BASE'!$R$87*X18,0)))</f>
        <v>0</v>
      </c>
      <c r="Z18" s="86">
        <f>U18/$U$10*'DADOS BASE'!$N$85+
 W18/$W$10*'DADOS BASE'!$N$86+
 Y18/$Y$10*'DADOS BASE'!$N$87</f>
        <v>3.4037499513196678E-2</v>
      </c>
      <c r="AA18" s="99"/>
      <c r="AB18" s="13"/>
    </row>
    <row r="19" spans="1:28" x14ac:dyDescent="0.3">
      <c r="A19" s="13"/>
      <c r="B19">
        <v>4007</v>
      </c>
      <c r="C19" s="111" t="s">
        <v>250</v>
      </c>
      <c r="D19" s="112" t="s">
        <v>251</v>
      </c>
      <c r="E19" t="s">
        <v>894</v>
      </c>
      <c r="F19" s="13"/>
      <c r="G19" s="181">
        <v>0.28810000000000002</v>
      </c>
      <c r="H19" s="86">
        <v>0.46899999999999997</v>
      </c>
      <c r="I19" s="86">
        <v>0.24299999999999999</v>
      </c>
      <c r="J19" s="86">
        <v>0.38100000000000001</v>
      </c>
      <c r="K19" s="88">
        <f>IF(J19&gt;'DADOS BASE'!$Q$79,'DADOS BASE'!$V$79*J19,
 IF(J19&gt;'DADOS BASE'!$Q$78,'DADOS BASE'!$V$78*J19,
 IF(J19&gt;'DADOS BASE'!$Q$77,'DADOS BASE'!$V$77*J19,
 IF(J19&gt;'DADOS BASE'!$Q$76,'DADOS BASE'!$V$76*J19,'DADOS BASE'!$V$75*J19))))</f>
        <v>0.1905</v>
      </c>
      <c r="L19" s="99">
        <f t="shared" si="1"/>
        <v>7.0087010908555774E-3</v>
      </c>
      <c r="M19" s="13"/>
      <c r="N19" s="160">
        <v>26.18</v>
      </c>
      <c r="O19" s="84">
        <v>51367.42</v>
      </c>
      <c r="P19" s="84">
        <v>1962</v>
      </c>
      <c r="Q19" s="88">
        <f>IF(N19&gt;'DADOS BASE'!$Q$95,'DADOS BASE'!$V$95*N19,
 IF(N19&gt;'DADOS BASE'!$Q$94,'DADOS BASE'!$V$94*N19,
 IF(N19&gt;'DADOS BASE'!$Q$93,'DADOS BASE'!$V$93*N19,0)))</f>
        <v>65.45</v>
      </c>
      <c r="R19" s="99">
        <f t="shared" si="2"/>
        <v>3.7509312854604841E-2</v>
      </c>
      <c r="S19" s="13"/>
      <c r="T19" s="156">
        <v>0.403075666</v>
      </c>
      <c r="U19" s="87">
        <f>IF(T19&gt;='DADOS BASE'!$Z$85,'DADOS BASE'!$AA$85*T19,
 IF(T19&gt;='DADOS BASE'!$U$85,'DADOS BASE'!$V$85*T19,
 IF(T19&gt;='DADOS BASE'!$Q$85,'DADOS BASE'!$R$85*T19,0)))</f>
        <v>0</v>
      </c>
      <c r="V19" s="86">
        <v>0.25580602400000002</v>
      </c>
      <c r="W19" s="87">
        <f>IF(V19&gt;='DADOS BASE'!$Z$86,'DADOS BASE'!$AA$86*V19,
 IF(V19&gt;='DADOS BASE'!$U$86,'DADOS BASE'!$V$86*V19,
 IF(V19&gt;='DADOS BASE'!$Q$86,'DADOS BASE'!$R$86*V19,0)))</f>
        <v>0.63951506000000002</v>
      </c>
      <c r="X19" s="86">
        <v>4.0684199999999997E-3</v>
      </c>
      <c r="Y19" s="87">
        <f>IF(X19&gt;='DADOS BASE'!$Z$87,'DADOS BASE'!$AA$87*X19,
 IF(X19&gt;='DADOS BASE'!$U$87,'DADOS BASE'!$V$87*X19,
 IF(X19&gt;='DADOS BASE'!$Q$87,'DADOS BASE'!$R$87*X19,0)))</f>
        <v>0</v>
      </c>
      <c r="Z19" s="86">
        <f>U19/$U$10*'DADOS BASE'!$N$85+
 W19/$W$10*'DADOS BASE'!$N$86+
 Y19/$Y$10*'DADOS BASE'!$N$87</f>
        <v>1.0668474450563166E-2</v>
      </c>
      <c r="AA19" s="99"/>
      <c r="AB19" s="13"/>
    </row>
    <row r="20" spans="1:28" x14ac:dyDescent="0.3">
      <c r="A20" s="13"/>
      <c r="B20">
        <v>3996</v>
      </c>
      <c r="C20" s="111" t="s">
        <v>285</v>
      </c>
      <c r="D20" s="112" t="s">
        <v>286</v>
      </c>
      <c r="E20" t="s">
        <v>895</v>
      </c>
      <c r="F20" s="13"/>
      <c r="G20" s="181">
        <v>0.28270000000000001</v>
      </c>
      <c r="H20" s="86">
        <v>0.45179999999999998</v>
      </c>
      <c r="I20" s="86">
        <v>0.26550000000000001</v>
      </c>
      <c r="J20" s="86">
        <v>0.38500000000000001</v>
      </c>
      <c r="K20" s="88">
        <f>IF(J20&gt;'DADOS BASE'!$Q$79,'DADOS BASE'!$V$79*J20,
 IF(J20&gt;'DADOS BASE'!$Q$78,'DADOS BASE'!$V$78*J20,
 IF(J20&gt;'DADOS BASE'!$Q$77,'DADOS BASE'!$V$77*J20,
 IF(J20&gt;'DADOS BASE'!$Q$76,'DADOS BASE'!$V$76*J20,'DADOS BASE'!$V$75*J20))))</f>
        <v>0.1925</v>
      </c>
      <c r="L20" s="99">
        <f t="shared" si="1"/>
        <v>7.0822832545390998E-3</v>
      </c>
      <c r="M20" s="13"/>
      <c r="N20" s="160">
        <v>26.85</v>
      </c>
      <c r="O20" s="84">
        <v>18590.23</v>
      </c>
      <c r="P20" s="84">
        <v>692.5</v>
      </c>
      <c r="Q20" s="88">
        <f>IF(N20&gt;'DADOS BASE'!$Q$95,'DADOS BASE'!$V$95*N20,
 IF(N20&gt;'DADOS BASE'!$Q$94,'DADOS BASE'!$V$94*N20,
 IF(N20&gt;'DADOS BASE'!$Q$93,'DADOS BASE'!$V$93*N20,0)))</f>
        <v>67.125</v>
      </c>
      <c r="R20" s="99">
        <f t="shared" si="2"/>
        <v>3.846925325233537E-2</v>
      </c>
      <c r="S20" s="13"/>
      <c r="T20" s="156">
        <v>0.594234386</v>
      </c>
      <c r="U20" s="87">
        <f>IF(T20&gt;='DADOS BASE'!$Z$85,'DADOS BASE'!$AA$85*T20,
 IF(T20&gt;='DADOS BASE'!$U$85,'DADOS BASE'!$V$85*T20,
 IF(T20&gt;='DADOS BASE'!$Q$85,'DADOS BASE'!$R$85*T20,0)))</f>
        <v>0.594234386</v>
      </c>
      <c r="V20" s="86">
        <v>0.19031780400000001</v>
      </c>
      <c r="W20" s="87">
        <f>IF(V20&gt;='DADOS BASE'!$Z$86,'DADOS BASE'!$AA$86*V20,
 IF(V20&gt;='DADOS BASE'!$U$86,'DADOS BASE'!$V$86*V20,
 IF(V20&gt;='DADOS BASE'!$Q$86,'DADOS BASE'!$R$86*V20,0)))</f>
        <v>0.38063560800000001</v>
      </c>
      <c r="X20" s="86">
        <v>2.9368603E-2</v>
      </c>
      <c r="Y20" s="87">
        <f>IF(X20&gt;='DADOS BASE'!$Z$87,'DADOS BASE'!$AA$87*X20,
 IF(X20&gt;='DADOS BASE'!$U$87,'DADOS BASE'!$V$87*X20,
 IF(X20&gt;='DADOS BASE'!$Q$87,'DADOS BASE'!$R$87*X20,0)))</f>
        <v>2.9368603E-2</v>
      </c>
      <c r="Z20" s="86">
        <f>U20/$U$10*'DADOS BASE'!$N$85+
 W20/$W$10*'DADOS BASE'!$N$86+
 Y20/$Y$10*'DADOS BASE'!$N$87</f>
        <v>2.3332632115745228E-2</v>
      </c>
      <c r="AA20" s="99"/>
      <c r="AB20" s="13"/>
    </row>
    <row r="21" spans="1:28" x14ac:dyDescent="0.3">
      <c r="A21" s="13"/>
      <c r="B21">
        <v>4003</v>
      </c>
      <c r="C21" s="111" t="s">
        <v>297</v>
      </c>
      <c r="D21" s="112" t="s">
        <v>298</v>
      </c>
      <c r="E21" t="s">
        <v>896</v>
      </c>
      <c r="F21" s="13"/>
      <c r="G21" s="181">
        <v>0.44019999999999998</v>
      </c>
      <c r="H21" s="86">
        <v>0.36809999999999998</v>
      </c>
      <c r="I21" s="86">
        <v>0.19170000000000001</v>
      </c>
      <c r="J21" s="86">
        <v>0.54500000000000004</v>
      </c>
      <c r="K21" s="88">
        <f>IF(J21&gt;'DADOS BASE'!$Q$79,'DADOS BASE'!$V$79*J21,
 IF(J21&gt;'DADOS BASE'!$Q$78,'DADOS BASE'!$V$78*J21,
 IF(J21&gt;'DADOS BASE'!$Q$77,'DADOS BASE'!$V$77*J21,
 IF(J21&gt;'DADOS BASE'!$Q$76,'DADOS BASE'!$V$76*J21,'DADOS BASE'!$V$75*J21))))</f>
        <v>1.0900000000000001</v>
      </c>
      <c r="L21" s="99">
        <f t="shared" si="1"/>
        <v>4.0102279207520103E-2</v>
      </c>
      <c r="M21" s="13"/>
      <c r="N21" s="160">
        <v>20.3</v>
      </c>
      <c r="O21" s="84">
        <v>30361.96</v>
      </c>
      <c r="P21" s="84">
        <v>1496</v>
      </c>
      <c r="Q21" s="88">
        <f>IF(N21&gt;'DADOS BASE'!$Q$95,'DADOS BASE'!$V$95*N21,
 IF(N21&gt;'DADOS BASE'!$Q$94,'DADOS BASE'!$V$94*N21,
 IF(N21&gt;'DADOS BASE'!$Q$93,'DADOS BASE'!$V$93*N21,0)))</f>
        <v>40.6</v>
      </c>
      <c r="R21" s="99">
        <f t="shared" si="2"/>
        <v>2.3267809043498192E-2</v>
      </c>
      <c r="S21" s="13"/>
      <c r="T21" s="156">
        <v>0.52462919900000005</v>
      </c>
      <c r="U21" s="87">
        <f>IF(T21&gt;='DADOS BASE'!$Z$85,'DADOS BASE'!$AA$85*T21,
 IF(T21&gt;='DADOS BASE'!$U$85,'DADOS BASE'!$V$85*T21,
 IF(T21&gt;='DADOS BASE'!$Q$85,'DADOS BASE'!$R$85*T21,0)))</f>
        <v>0.52462919900000005</v>
      </c>
      <c r="V21" s="86">
        <v>0.22434127200000001</v>
      </c>
      <c r="W21" s="87">
        <f>IF(V21&gt;='DADOS BASE'!$Z$86,'DADOS BASE'!$AA$86*V21,
 IF(V21&gt;='DADOS BASE'!$U$86,'DADOS BASE'!$V$86*V21,
 IF(V21&gt;='DADOS BASE'!$Q$86,'DADOS BASE'!$R$86*V21,0)))</f>
        <v>0.56085318000000006</v>
      </c>
      <c r="X21" s="86">
        <v>2.9698914999999999E-2</v>
      </c>
      <c r="Y21" s="87">
        <f>IF(X21&gt;='DADOS BASE'!$Z$87,'DADOS BASE'!$AA$87*X21,
 IF(X21&gt;='DADOS BASE'!$U$87,'DADOS BASE'!$V$87*X21,
 IF(X21&gt;='DADOS BASE'!$Q$87,'DADOS BASE'!$R$87*X21,0)))</f>
        <v>2.9698914999999999E-2</v>
      </c>
      <c r="Z21" s="86">
        <f>U21/$U$10*'DADOS BASE'!$N$85+
 W21/$W$10*'DADOS BASE'!$N$86+
 Y21/$Y$10*'DADOS BASE'!$N$87</f>
        <v>2.4620548201241148E-2</v>
      </c>
      <c r="AA21" s="99"/>
      <c r="AB21" s="13"/>
    </row>
    <row r="22" spans="1:28" x14ac:dyDescent="0.3">
      <c r="A22" s="13"/>
      <c r="B22">
        <v>3981</v>
      </c>
      <c r="C22" s="111" t="s">
        <v>322</v>
      </c>
      <c r="D22" s="112" t="s">
        <v>323</v>
      </c>
      <c r="E22" t="s">
        <v>897</v>
      </c>
      <c r="F22" s="13"/>
      <c r="G22" s="181">
        <v>0.44019999999999998</v>
      </c>
      <c r="H22" s="86">
        <v>0.36809999999999998</v>
      </c>
      <c r="I22" s="86">
        <v>0.19170000000000001</v>
      </c>
      <c r="J22" s="86">
        <v>0.46200000000000002</v>
      </c>
      <c r="K22" s="88">
        <f>IF(J22&gt;'DADOS BASE'!$Q$79,'DADOS BASE'!$V$79*J22,
 IF(J22&gt;'DADOS BASE'!$Q$78,'DADOS BASE'!$V$78*J22,
 IF(J22&gt;'DADOS BASE'!$Q$77,'DADOS BASE'!$V$77*J22,
 IF(J22&gt;'DADOS BASE'!$Q$76,'DADOS BASE'!$V$76*J22,'DADOS BASE'!$V$75*J22))))</f>
        <v>0.46200000000000002</v>
      </c>
      <c r="L22" s="99">
        <f t="shared" si="1"/>
        <v>1.6997479810893841E-2</v>
      </c>
      <c r="M22" s="13"/>
      <c r="N22" s="160">
        <v>17.36</v>
      </c>
      <c r="O22" s="84">
        <v>19348.169999999998</v>
      </c>
      <c r="P22" s="84">
        <v>1114.5</v>
      </c>
      <c r="Q22" s="88">
        <f>IF(N22&gt;'DADOS BASE'!$Q$95,'DADOS BASE'!$V$95*N22,
 IF(N22&gt;'DADOS BASE'!$Q$94,'DADOS BASE'!$V$94*N22,
 IF(N22&gt;'DADOS BASE'!$Q$93,'DADOS BASE'!$V$93*N22,0)))</f>
        <v>0</v>
      </c>
      <c r="R22" s="99">
        <f t="shared" si="2"/>
        <v>0</v>
      </c>
      <c r="S22" s="13"/>
      <c r="T22" s="156">
        <v>0.43989501800000003</v>
      </c>
      <c r="U22" s="87">
        <f>IF(T22&gt;='DADOS BASE'!$Z$85,'DADOS BASE'!$AA$85*T22,
 IF(T22&gt;='DADOS BASE'!$U$85,'DADOS BASE'!$V$85*T22,
 IF(T22&gt;='DADOS BASE'!$Q$85,'DADOS BASE'!$R$85*T22,0)))</f>
        <v>0</v>
      </c>
      <c r="V22" s="86">
        <v>0.246266649</v>
      </c>
      <c r="W22" s="87">
        <f>IF(V22&gt;='DADOS BASE'!$Z$86,'DADOS BASE'!$AA$86*V22,
 IF(V22&gt;='DADOS BASE'!$U$86,'DADOS BASE'!$V$86*V22,
 IF(V22&gt;='DADOS BASE'!$Q$86,'DADOS BASE'!$R$86*V22,0)))</f>
        <v>0.61566662250000004</v>
      </c>
      <c r="X22" s="86">
        <v>0.11384514599999999</v>
      </c>
      <c r="Y22" s="87">
        <f>IF(X22&gt;='DADOS BASE'!$Z$87,'DADOS BASE'!$AA$87*X22,
 IF(X22&gt;='DADOS BASE'!$U$87,'DADOS BASE'!$V$87*X22,
 IF(X22&gt;='DADOS BASE'!$Q$87,'DADOS BASE'!$R$87*X22,0)))</f>
        <v>0.28461286499999999</v>
      </c>
      <c r="Z22" s="86">
        <f>U22/$U$10*'DADOS BASE'!$N$85+
 W22/$W$10*'DADOS BASE'!$N$86+
 Y22/$Y$10*'DADOS BASE'!$N$87</f>
        <v>3.0710279749383774E-2</v>
      </c>
      <c r="AA22" s="99"/>
      <c r="AB22" s="13"/>
    </row>
    <row r="23" spans="1:28" x14ac:dyDescent="0.3">
      <c r="A23" s="13"/>
      <c r="B23">
        <v>3992</v>
      </c>
      <c r="C23" s="111" t="s">
        <v>322</v>
      </c>
      <c r="D23" s="112" t="s">
        <v>338</v>
      </c>
      <c r="E23" t="s">
        <v>898</v>
      </c>
      <c r="F23" s="13"/>
      <c r="G23" s="181">
        <v>0.40899999999999997</v>
      </c>
      <c r="H23" s="86">
        <v>0.47539999999999999</v>
      </c>
      <c r="I23" s="86">
        <v>0.11559999999999999</v>
      </c>
      <c r="J23" s="86">
        <v>0.45300000000000001</v>
      </c>
      <c r="K23" s="88">
        <f>IF(J23&gt;'DADOS BASE'!$Q$79,'DADOS BASE'!$V$79*J23,
 IF(J23&gt;'DADOS BASE'!$Q$78,'DADOS BASE'!$V$78*J23,
 IF(J23&gt;'DADOS BASE'!$Q$77,'DADOS BASE'!$V$77*J23,
 IF(J23&gt;'DADOS BASE'!$Q$76,'DADOS BASE'!$V$76*J23,'DADOS BASE'!$V$75*J23))))</f>
        <v>0.45300000000000001</v>
      </c>
      <c r="L23" s="99">
        <f t="shared" si="1"/>
        <v>1.6666360074317987E-2</v>
      </c>
      <c r="M23" s="13"/>
      <c r="N23" s="160">
        <v>24.94</v>
      </c>
      <c r="O23" s="84">
        <v>18154.169999999998</v>
      </c>
      <c r="P23" s="84">
        <v>728</v>
      </c>
      <c r="Q23" s="88">
        <f>IF(N23&gt;'DADOS BASE'!$Q$95,'DADOS BASE'!$V$95*N23,
 IF(N23&gt;'DADOS BASE'!$Q$94,'DADOS BASE'!$V$94*N23,
 IF(N23&gt;'DADOS BASE'!$Q$93,'DADOS BASE'!$V$93*N23,0)))</f>
        <v>62.35</v>
      </c>
      <c r="R23" s="99">
        <f t="shared" si="2"/>
        <v>3.5732706745372225E-2</v>
      </c>
      <c r="S23" s="13"/>
      <c r="T23" s="156">
        <v>0.44361748699999998</v>
      </c>
      <c r="U23" s="87">
        <f>IF(T23&gt;='DADOS BASE'!$Z$85,'DADOS BASE'!$AA$85*T23,
 IF(T23&gt;='DADOS BASE'!$U$85,'DADOS BASE'!$V$85*T23,
 IF(T23&gt;='DADOS BASE'!$Q$85,'DADOS BASE'!$R$85*T23,0)))</f>
        <v>0</v>
      </c>
      <c r="V23" s="86">
        <v>0.13595337299999999</v>
      </c>
      <c r="W23" s="87">
        <f>IF(V23&gt;='DADOS BASE'!$Z$86,'DADOS BASE'!$AA$86*V23,
 IF(V23&gt;='DADOS BASE'!$U$86,'DADOS BASE'!$V$86*V23,
 IF(V23&gt;='DADOS BASE'!$Q$86,'DADOS BASE'!$R$86*V23,0)))</f>
        <v>0.13595337299999999</v>
      </c>
      <c r="X23" s="86">
        <v>5.1309729999999996E-3</v>
      </c>
      <c r="Y23" s="87">
        <f>IF(X23&gt;='DADOS BASE'!$Z$87,'DADOS BASE'!$AA$87*X23,
 IF(X23&gt;='DADOS BASE'!$U$87,'DADOS BASE'!$V$87*X23,
 IF(X23&gt;='DADOS BASE'!$Q$87,'DADOS BASE'!$R$87*X23,0)))</f>
        <v>0</v>
      </c>
      <c r="Z23" s="86">
        <f>U23/$U$10*'DADOS BASE'!$N$85+
 W23/$W$10*'DADOS BASE'!$N$86+
 Y23/$Y$10*'DADOS BASE'!$N$87</f>
        <v>2.2679920724906523E-3</v>
      </c>
      <c r="AA23" s="99"/>
      <c r="AB23" s="13"/>
    </row>
    <row r="24" spans="1:28" x14ac:dyDescent="0.3">
      <c r="A24" s="13"/>
      <c r="B24">
        <v>4008</v>
      </c>
      <c r="C24" s="111" t="s">
        <v>351</v>
      </c>
      <c r="D24" s="112" t="s">
        <v>352</v>
      </c>
      <c r="E24" t="s">
        <v>899</v>
      </c>
      <c r="F24" s="13"/>
      <c r="G24" s="181">
        <v>0.45789999999999997</v>
      </c>
      <c r="H24" s="86">
        <v>0.25190000000000001</v>
      </c>
      <c r="I24" s="86">
        <v>0.29020000000000001</v>
      </c>
      <c r="J24" s="86">
        <v>0.64500000000000002</v>
      </c>
      <c r="K24" s="88">
        <f>IF(J24&gt;'DADOS BASE'!$Q$79,'DADOS BASE'!$V$79*J24,
 IF(J24&gt;'DADOS BASE'!$Q$78,'DADOS BASE'!$V$78*J24,
 IF(J24&gt;'DADOS BASE'!$Q$77,'DADOS BASE'!$V$77*J24,
 IF(J24&gt;'DADOS BASE'!$Q$76,'DADOS BASE'!$V$76*J24,'DADOS BASE'!$V$75*J24))))</f>
        <v>1.6125</v>
      </c>
      <c r="L24" s="99">
        <f t="shared" si="1"/>
        <v>5.9325619469840517E-2</v>
      </c>
      <c r="M24" s="13"/>
      <c r="N24" s="160">
        <v>20.27</v>
      </c>
      <c r="O24" s="84">
        <v>35431.14</v>
      </c>
      <c r="P24" s="84">
        <v>1748</v>
      </c>
      <c r="Q24" s="88">
        <f>IF(N24&gt;'DADOS BASE'!$Q$95,'DADOS BASE'!$V$95*N24,
 IF(N24&gt;'DADOS BASE'!$Q$94,'DADOS BASE'!$V$94*N24,
 IF(N24&gt;'DADOS BASE'!$Q$93,'DADOS BASE'!$V$93*N24,0)))</f>
        <v>40.54</v>
      </c>
      <c r="R24" s="99">
        <f t="shared" si="2"/>
        <v>2.3233423118803366E-2</v>
      </c>
      <c r="S24" s="13"/>
      <c r="T24" s="156">
        <v>0.66129942100000005</v>
      </c>
      <c r="U24" s="87">
        <f>IF(T24&gt;='DADOS BASE'!$Z$85,'DADOS BASE'!$AA$85*T24,
 IF(T24&gt;='DADOS BASE'!$U$85,'DADOS BASE'!$V$85*T24,
 IF(T24&gt;='DADOS BASE'!$Q$85,'DADOS BASE'!$R$85*T24,0)))</f>
        <v>1.3225988420000001</v>
      </c>
      <c r="V24" s="86">
        <v>0.18499972100000001</v>
      </c>
      <c r="W24" s="87">
        <f>IF(V24&gt;='DADOS BASE'!$Z$86,'DADOS BASE'!$AA$86*V24,
 IF(V24&gt;='DADOS BASE'!$U$86,'DADOS BASE'!$V$86*V24,
 IF(V24&gt;='DADOS BASE'!$Q$86,'DADOS BASE'!$R$86*V24,0)))</f>
        <v>0.36999944200000001</v>
      </c>
      <c r="X24" s="86">
        <v>3.4249266E-2</v>
      </c>
      <c r="Y24" s="87">
        <f>IF(X24&gt;='DADOS BASE'!$Z$87,'DADOS BASE'!$AA$87*X24,
 IF(X24&gt;='DADOS BASE'!$U$87,'DADOS BASE'!$V$87*X24,
 IF(X24&gt;='DADOS BASE'!$Q$87,'DADOS BASE'!$R$87*X24,0)))</f>
        <v>3.4249266E-2</v>
      </c>
      <c r="Z24" s="86">
        <f>U24/$U$10*'DADOS BASE'!$N$85+
 W24/$W$10*'DADOS BASE'!$N$86+
 Y24/$Y$10*'DADOS BASE'!$N$87</f>
        <v>4.1736677898308677E-2</v>
      </c>
      <c r="AA24" s="99"/>
      <c r="AB24" s="13"/>
    </row>
    <row r="25" spans="1:28" x14ac:dyDescent="0.3">
      <c r="A25" s="13"/>
      <c r="B25">
        <v>4014</v>
      </c>
      <c r="C25" s="111" t="s">
        <v>382</v>
      </c>
      <c r="D25" s="112" t="s">
        <v>383</v>
      </c>
      <c r="E25" t="s">
        <v>900</v>
      </c>
      <c r="F25" s="13"/>
      <c r="G25" s="181">
        <v>0.46800000000000003</v>
      </c>
      <c r="H25" s="86">
        <v>0.33110000000000001</v>
      </c>
      <c r="I25" s="86">
        <v>0.2009</v>
      </c>
      <c r="J25" s="86">
        <v>0.58599999999999997</v>
      </c>
      <c r="K25" s="88">
        <f>IF(J25&gt;'DADOS BASE'!$Q$79,'DADOS BASE'!$V$79*J25,
 IF(J25&gt;'DADOS BASE'!$Q$78,'DADOS BASE'!$V$78*J25,
 IF(J25&gt;'DADOS BASE'!$Q$77,'DADOS BASE'!$V$77*J25,
 IF(J25&gt;'DADOS BASE'!$Q$76,'DADOS BASE'!$V$76*J25,'DADOS BASE'!$V$75*J25))))</f>
        <v>1.4649999999999999</v>
      </c>
      <c r="L25" s="99">
        <f t="shared" si="1"/>
        <v>5.3898934898180678E-2</v>
      </c>
      <c r="M25" s="13"/>
      <c r="N25" s="160">
        <v>18.920000000000002</v>
      </c>
      <c r="O25" s="84">
        <v>17903.64</v>
      </c>
      <c r="P25" s="84">
        <v>946.5</v>
      </c>
      <c r="Q25" s="88">
        <f>IF(N25&gt;'DADOS BASE'!$Q$95,'DADOS BASE'!$V$95*N25,
 IF(N25&gt;'DADOS BASE'!$Q$94,'DADOS BASE'!$V$94*N25,
 IF(N25&gt;'DADOS BASE'!$Q$93,'DADOS BASE'!$V$93*N25,0)))</f>
        <v>18.920000000000002</v>
      </c>
      <c r="R25" s="99">
        <f t="shared" si="2"/>
        <v>1.0843028253768124E-2</v>
      </c>
      <c r="S25" s="13"/>
      <c r="T25" s="156">
        <v>0.54100000000000004</v>
      </c>
      <c r="U25" s="87">
        <f>IF(T25&gt;='DADOS BASE'!$Z$85,'DADOS BASE'!$AA$85*T25,
 IF(T25&gt;='DADOS BASE'!$U$85,'DADOS BASE'!$V$85*T25,
 IF(T25&gt;='DADOS BASE'!$Q$85,'DADOS BASE'!$R$85*T25,0)))</f>
        <v>0.54100000000000004</v>
      </c>
      <c r="V25" s="86">
        <v>0.16400000000000001</v>
      </c>
      <c r="W25" s="87">
        <f>IF(V25&gt;='DADOS BASE'!$Z$86,'DADOS BASE'!$AA$86*V25,
 IF(V25&gt;='DADOS BASE'!$U$86,'DADOS BASE'!$V$86*V25,
 IF(V25&gt;='DADOS BASE'!$Q$86,'DADOS BASE'!$R$86*V25,0)))</f>
        <v>0.32800000000000001</v>
      </c>
      <c r="X25" s="86">
        <v>1.9E-2</v>
      </c>
      <c r="Y25" s="87">
        <f>IF(X25&gt;='DADOS BASE'!$Z$87,'DADOS BASE'!$AA$87*X25,
 IF(X25&gt;='DADOS BASE'!$U$87,'DADOS BASE'!$V$87*X25,
 IF(X25&gt;='DADOS BASE'!$Q$87,'DADOS BASE'!$R$87*X25,0)))</f>
        <v>0</v>
      </c>
      <c r="Z25" s="86">
        <f>U25/$U$10*'DADOS BASE'!$N$85+
 W25/$W$10*'DADOS BASE'!$N$86+
 Y25/$Y$10*'DADOS BASE'!$N$87</f>
        <v>1.9012976291256437E-2</v>
      </c>
      <c r="AA25" s="99"/>
      <c r="AB25" s="13"/>
    </row>
    <row r="26" spans="1:28" x14ac:dyDescent="0.3">
      <c r="A26" s="13"/>
      <c r="B26">
        <v>3975</v>
      </c>
      <c r="C26" s="111" t="s">
        <v>382</v>
      </c>
      <c r="D26" s="112" t="s">
        <v>393</v>
      </c>
      <c r="E26" t="s">
        <v>901</v>
      </c>
      <c r="F26" s="13"/>
      <c r="G26" s="181">
        <v>0.49619999999999997</v>
      </c>
      <c r="H26" s="86">
        <v>0.32579999999999998</v>
      </c>
      <c r="I26" s="86">
        <v>0.17799999999999999</v>
      </c>
      <c r="J26" s="86">
        <v>0.60399999999999998</v>
      </c>
      <c r="K26" s="88">
        <f>IF(J26&gt;'DADOS BASE'!$Q$79,'DADOS BASE'!$V$79*J26,
 IF(J26&gt;'DADOS BASE'!$Q$78,'DADOS BASE'!$V$78*J26,
 IF(J26&gt;'DADOS BASE'!$Q$77,'DADOS BASE'!$V$77*J26,
 IF(J26&gt;'DADOS BASE'!$Q$76,'DADOS BASE'!$V$76*J26,'DADOS BASE'!$V$75*J26))))</f>
        <v>1.51</v>
      </c>
      <c r="L26" s="99">
        <f t="shared" si="1"/>
        <v>5.5554533581059953E-2</v>
      </c>
      <c r="M26" s="13"/>
      <c r="N26" s="160">
        <v>23.46</v>
      </c>
      <c r="O26" s="84">
        <v>23319.25</v>
      </c>
      <c r="P26" s="84">
        <v>994</v>
      </c>
      <c r="Q26" s="88">
        <f>IF(N26&gt;'DADOS BASE'!$Q$95,'DADOS BASE'!$V$95*N26,
 IF(N26&gt;'DADOS BASE'!$Q$94,'DADOS BASE'!$V$94*N26,
 IF(N26&gt;'DADOS BASE'!$Q$93,'DADOS BASE'!$V$93*N26,0)))</f>
        <v>58.650000000000006</v>
      </c>
      <c r="R26" s="99">
        <f t="shared" si="2"/>
        <v>3.3612241389191354E-2</v>
      </c>
      <c r="S26" s="13"/>
      <c r="T26" s="156">
        <v>0.51417997000000004</v>
      </c>
      <c r="U26" s="87">
        <f>IF(T26&gt;='DADOS BASE'!$Z$85,'DADOS BASE'!$AA$85*T26,
 IF(T26&gt;='DADOS BASE'!$U$85,'DADOS BASE'!$V$85*T26,
 IF(T26&gt;='DADOS BASE'!$Q$85,'DADOS BASE'!$R$85*T26,0)))</f>
        <v>0.51417997000000004</v>
      </c>
      <c r="V26" s="86">
        <v>9.8944550000000006E-2</v>
      </c>
      <c r="W26" s="87">
        <f>IF(V26&gt;='DADOS BASE'!$Z$86,'DADOS BASE'!$AA$86*V26,
 IF(V26&gt;='DADOS BASE'!$U$86,'DADOS BASE'!$V$86*V26,
 IF(V26&gt;='DADOS BASE'!$Q$86,'DADOS BASE'!$R$86*V26,0)))</f>
        <v>0</v>
      </c>
      <c r="X26" s="86">
        <v>0</v>
      </c>
      <c r="Y26" s="87">
        <f>IF(X26&gt;='DADOS BASE'!$Z$87,'DADOS BASE'!$AA$87*X26,
 IF(X26&gt;='DADOS BASE'!$U$87,'DADOS BASE'!$V$87*X26,
 IF(X26&gt;='DADOS BASE'!$Q$87,'DADOS BASE'!$R$87*X26,0)))</f>
        <v>0</v>
      </c>
      <c r="Z26" s="86">
        <f>U26/$U$10*'DADOS BASE'!$N$85+
 W26/$W$10*'DADOS BASE'!$N$86+
 Y26/$Y$10*'DADOS BASE'!$N$87</f>
        <v>1.286993139327783E-2</v>
      </c>
      <c r="AA26" s="99"/>
      <c r="AB26" s="13"/>
    </row>
    <row r="27" spans="1:28" x14ac:dyDescent="0.3">
      <c r="A27" s="13"/>
      <c r="B27">
        <v>3977</v>
      </c>
      <c r="C27" s="111" t="s">
        <v>382</v>
      </c>
      <c r="D27" s="112" t="s">
        <v>412</v>
      </c>
      <c r="E27" t="s">
        <v>902</v>
      </c>
      <c r="F27" s="13"/>
      <c r="G27" s="181">
        <v>0.45219999999999999</v>
      </c>
      <c r="H27" s="86">
        <v>0.43940000000000001</v>
      </c>
      <c r="I27" s="86">
        <v>0.1084</v>
      </c>
      <c r="J27" s="86">
        <v>0.50700000000000001</v>
      </c>
      <c r="K27" s="88">
        <f>IF(J27&gt;'DADOS BASE'!$Q$79,'DADOS BASE'!$V$79*J27,
 IF(J27&gt;'DADOS BASE'!$Q$78,'DADOS BASE'!$V$78*J27,
 IF(J27&gt;'DADOS BASE'!$Q$77,'DADOS BASE'!$V$77*J27,
 IF(J27&gt;'DADOS BASE'!$Q$76,'DADOS BASE'!$V$76*J27,'DADOS BASE'!$V$75*J27))))</f>
        <v>0.76049999999999995</v>
      </c>
      <c r="L27" s="99">
        <f t="shared" si="1"/>
        <v>2.7979617740659664E-2</v>
      </c>
      <c r="M27" s="13"/>
      <c r="N27" s="160">
        <v>22.13</v>
      </c>
      <c r="O27" s="84">
        <v>14408.47</v>
      </c>
      <c r="P27" s="84">
        <v>651</v>
      </c>
      <c r="Q27" s="88">
        <f>IF(N27&gt;'DADOS BASE'!$Q$95,'DADOS BASE'!$V$95*N27,
 IF(N27&gt;'DADOS BASE'!$Q$94,'DADOS BASE'!$V$94*N27,
 IF(N27&gt;'DADOS BASE'!$Q$93,'DADOS BASE'!$V$93*N27,0)))</f>
        <v>55.324999999999996</v>
      </c>
      <c r="R27" s="99">
        <f t="shared" si="2"/>
        <v>3.1706688062353133E-2</v>
      </c>
      <c r="S27" s="13"/>
      <c r="T27" s="156">
        <v>0.53376803399999995</v>
      </c>
      <c r="U27" s="87">
        <f>IF(T27&gt;='DADOS BASE'!$Z$85,'DADOS BASE'!$AA$85*T27,
 IF(T27&gt;='DADOS BASE'!$U$85,'DADOS BASE'!$V$85*T27,
 IF(T27&gt;='DADOS BASE'!$Q$85,'DADOS BASE'!$R$85*T27,0)))</f>
        <v>0.53376803399999995</v>
      </c>
      <c r="V27" s="86">
        <v>0.17257629799999999</v>
      </c>
      <c r="W27" s="87">
        <f>IF(V27&gt;='DADOS BASE'!$Z$86,'DADOS BASE'!$AA$86*V27,
 IF(V27&gt;='DADOS BASE'!$U$86,'DADOS BASE'!$V$86*V27,
 IF(V27&gt;='DADOS BASE'!$Q$86,'DADOS BASE'!$R$86*V27,0)))</f>
        <v>0.34515259599999998</v>
      </c>
      <c r="X27" s="86">
        <v>1.2680429999999999E-3</v>
      </c>
      <c r="Y27" s="87">
        <f>IF(X27&gt;='DADOS BASE'!$Z$87,'DADOS BASE'!$AA$87*X27,
 IF(X27&gt;='DADOS BASE'!$U$87,'DADOS BASE'!$V$87*X27,
 IF(X27&gt;='DADOS BASE'!$Q$87,'DADOS BASE'!$R$87*X27,0)))</f>
        <v>0</v>
      </c>
      <c r="Z27" s="86">
        <f>U27/$U$10*'DADOS BASE'!$N$85+
 W27/$W$10*'DADOS BASE'!$N$86+
 Y27/$Y$10*'DADOS BASE'!$N$87</f>
        <v>1.911810195276771E-2</v>
      </c>
      <c r="AA27" s="99"/>
      <c r="AB27" s="13"/>
    </row>
    <row r="28" spans="1:28" x14ac:dyDescent="0.3">
      <c r="A28" s="13"/>
      <c r="B28">
        <v>4013</v>
      </c>
      <c r="C28" s="111" t="s">
        <v>382</v>
      </c>
      <c r="D28" s="112" t="s">
        <v>426</v>
      </c>
      <c r="E28" t="s">
        <v>903</v>
      </c>
      <c r="F28" s="13"/>
      <c r="G28" s="181">
        <v>0.46689999999999998</v>
      </c>
      <c r="H28" s="86">
        <v>0.37440000000000001</v>
      </c>
      <c r="I28" s="86">
        <v>0.15870000000000001</v>
      </c>
      <c r="J28" s="86">
        <v>0.55500000000000005</v>
      </c>
      <c r="K28" s="88">
        <f>IF(J28&gt;'DADOS BASE'!$Q$79,'DADOS BASE'!$V$79*J28,
 IF(J28&gt;'DADOS BASE'!$Q$78,'DADOS BASE'!$V$78*J28,
 IF(J28&gt;'DADOS BASE'!$Q$77,'DADOS BASE'!$V$77*J28,
 IF(J28&gt;'DADOS BASE'!$Q$76,'DADOS BASE'!$V$76*J28,'DADOS BASE'!$V$75*J28))))</f>
        <v>1.1100000000000001</v>
      </c>
      <c r="L28" s="99">
        <f t="shared" si="1"/>
        <v>4.0838100844355331E-2</v>
      </c>
      <c r="M28" s="13"/>
      <c r="N28" s="160">
        <v>23.6</v>
      </c>
      <c r="O28" s="84">
        <v>15396.22</v>
      </c>
      <c r="P28" s="84">
        <v>652.5</v>
      </c>
      <c r="Q28" s="88">
        <f>IF(N28&gt;'DADOS BASE'!$Q$95,'DADOS BASE'!$V$95*N28,
 IF(N28&gt;'DADOS BASE'!$Q$94,'DADOS BASE'!$V$94*N28,
 IF(N28&gt;'DADOS BASE'!$Q$93,'DADOS BASE'!$V$93*N28,0)))</f>
        <v>59</v>
      </c>
      <c r="R28" s="99">
        <f t="shared" si="2"/>
        <v>3.3812825949911161E-2</v>
      </c>
      <c r="S28" s="13"/>
      <c r="T28" s="156">
        <v>0.536364285</v>
      </c>
      <c r="U28" s="87">
        <f>IF(T28&gt;='DADOS BASE'!$Z$85,'DADOS BASE'!$AA$85*T28,
 IF(T28&gt;='DADOS BASE'!$U$85,'DADOS BASE'!$V$85*T28,
 IF(T28&gt;='DADOS BASE'!$Q$85,'DADOS BASE'!$R$85*T28,0)))</f>
        <v>0.536364285</v>
      </c>
      <c r="V28" s="86">
        <v>0.13267890800000001</v>
      </c>
      <c r="W28" s="87">
        <f>IF(V28&gt;='DADOS BASE'!$Z$86,'DADOS BASE'!$AA$86*V28,
 IF(V28&gt;='DADOS BASE'!$U$86,'DADOS BASE'!$V$86*V28,
 IF(V28&gt;='DADOS BASE'!$Q$86,'DADOS BASE'!$R$86*V28,0)))</f>
        <v>0.13267890800000001</v>
      </c>
      <c r="X28" s="86">
        <v>7.9293690000000003E-3</v>
      </c>
      <c r="Y28" s="87">
        <f>IF(X28&gt;='DADOS BASE'!$Z$87,'DADOS BASE'!$AA$87*X28,
 IF(X28&gt;='DADOS BASE'!$U$87,'DADOS BASE'!$V$87*X28,
 IF(X28&gt;='DADOS BASE'!$Q$87,'DADOS BASE'!$R$87*X28,0)))</f>
        <v>0</v>
      </c>
      <c r="Z28" s="86">
        <f>U28/$U$10*'DADOS BASE'!$N$85+
 W28/$W$10*'DADOS BASE'!$N$86+
 Y28/$Y$10*'DADOS BASE'!$N$87</f>
        <v>1.5638572104842249E-2</v>
      </c>
      <c r="AA28" s="99"/>
      <c r="AB28" s="13"/>
    </row>
    <row r="29" spans="1:28" x14ac:dyDescent="0.3">
      <c r="A29" s="13"/>
      <c r="B29">
        <v>3976</v>
      </c>
      <c r="C29" s="111" t="s">
        <v>382</v>
      </c>
      <c r="D29" s="112" t="s">
        <v>437</v>
      </c>
      <c r="E29" t="s">
        <v>904</v>
      </c>
      <c r="F29" s="13"/>
      <c r="G29" s="181">
        <v>0.50939999999999996</v>
      </c>
      <c r="H29" s="86">
        <v>0.39419999999999999</v>
      </c>
      <c r="I29" s="86">
        <v>9.64E-2</v>
      </c>
      <c r="J29" s="86">
        <v>0.56399999999999995</v>
      </c>
      <c r="K29" s="88">
        <f>IF(J29&gt;'DADOS BASE'!$Q$79,'DADOS BASE'!$V$79*J29,
 IF(J29&gt;'DADOS BASE'!$Q$78,'DADOS BASE'!$V$78*J29,
 IF(J29&gt;'DADOS BASE'!$Q$77,'DADOS BASE'!$V$77*J29,
 IF(J29&gt;'DADOS BASE'!$Q$76,'DADOS BASE'!$V$76*J29,'DADOS BASE'!$V$75*J29))))</f>
        <v>1.1279999999999999</v>
      </c>
      <c r="L29" s="99">
        <f t="shared" si="1"/>
        <v>4.1500340317507031E-2</v>
      </c>
      <c r="M29" s="13"/>
      <c r="N29" s="160">
        <v>25.15</v>
      </c>
      <c r="O29" s="84">
        <v>14158.12</v>
      </c>
      <c r="P29" s="84">
        <v>563</v>
      </c>
      <c r="Q29" s="88">
        <f>IF(N29&gt;'DADOS BASE'!$Q$95,'DADOS BASE'!$V$95*N29,
 IF(N29&gt;'DADOS BASE'!$Q$94,'DADOS BASE'!$V$94*N29,
 IF(N29&gt;'DADOS BASE'!$Q$93,'DADOS BASE'!$V$93*N29,0)))</f>
        <v>62.875</v>
      </c>
      <c r="R29" s="99">
        <f t="shared" si="2"/>
        <v>3.6033583586451937E-2</v>
      </c>
      <c r="S29" s="13"/>
      <c r="T29" s="156">
        <v>0.50763188699999995</v>
      </c>
      <c r="U29" s="87">
        <f>IF(T29&gt;='DADOS BASE'!$Z$85,'DADOS BASE'!$AA$85*T29,
 IF(T29&gt;='DADOS BASE'!$U$85,'DADOS BASE'!$V$85*T29,
 IF(T29&gt;='DADOS BASE'!$Q$85,'DADOS BASE'!$R$85*T29,0)))</f>
        <v>0.50763188699999995</v>
      </c>
      <c r="V29" s="86">
        <v>0.27691509399999997</v>
      </c>
      <c r="W29" s="87">
        <f>IF(V29&gt;='DADOS BASE'!$Z$86,'DADOS BASE'!$AA$86*V29,
 IF(V29&gt;='DADOS BASE'!$U$86,'DADOS BASE'!$V$86*V29,
 IF(V29&gt;='DADOS BASE'!$Q$86,'DADOS BASE'!$R$86*V29,0)))</f>
        <v>0.69228773499999996</v>
      </c>
      <c r="X29" s="86">
        <v>0</v>
      </c>
      <c r="Y29" s="87">
        <f>IF(X29&gt;='DADOS BASE'!$Z$87,'DADOS BASE'!$AA$87*X29,
 IF(X29&gt;='DADOS BASE'!$U$87,'DADOS BASE'!$V$87*X29,
 IF(X29&gt;='DADOS BASE'!$Q$87,'DADOS BASE'!$R$87*X29,0)))</f>
        <v>0</v>
      </c>
      <c r="Z29" s="86">
        <f>U29/$U$10*'DADOS BASE'!$N$85+
 W29/$W$10*'DADOS BASE'!$N$86+
 Y29/$Y$10*'DADOS BASE'!$N$87</f>
        <v>2.4254867954604638E-2</v>
      </c>
      <c r="AA29" s="99"/>
      <c r="AB29" s="13"/>
    </row>
    <row r="30" spans="1:28" x14ac:dyDescent="0.3">
      <c r="A30" s="13"/>
      <c r="B30">
        <v>4012</v>
      </c>
      <c r="C30" s="111" t="s">
        <v>382</v>
      </c>
      <c r="D30" s="112" t="s">
        <v>447</v>
      </c>
      <c r="E30" t="s">
        <v>905</v>
      </c>
      <c r="F30" s="13"/>
      <c r="G30" s="181">
        <v>0.41539999999999999</v>
      </c>
      <c r="H30" s="86">
        <v>0.46289999999999998</v>
      </c>
      <c r="I30" s="86">
        <v>0.1217</v>
      </c>
      <c r="J30" s="86">
        <v>0.47299999999999998</v>
      </c>
      <c r="K30" s="88">
        <f>IF(J30&gt;'DADOS BASE'!$Q$79,'DADOS BASE'!$V$79*J30,
 IF(J30&gt;'DADOS BASE'!$Q$78,'DADOS BASE'!$V$78*J30,
 IF(J30&gt;'DADOS BASE'!$Q$77,'DADOS BASE'!$V$77*J30,
 IF(J30&gt;'DADOS BASE'!$Q$76,'DADOS BASE'!$V$76*J30,'DADOS BASE'!$V$75*J30))))</f>
        <v>0.70950000000000002</v>
      </c>
      <c r="L30" s="99">
        <f t="shared" si="1"/>
        <v>2.6103272566729827E-2</v>
      </c>
      <c r="M30" s="13"/>
      <c r="N30" s="160">
        <v>19.96</v>
      </c>
      <c r="O30" s="84">
        <v>11548.98</v>
      </c>
      <c r="P30" s="84">
        <v>578.5</v>
      </c>
      <c r="Q30" s="88">
        <f>IF(N30&gt;'DADOS BASE'!$Q$95,'DADOS BASE'!$V$95*N30,
 IF(N30&gt;'DADOS BASE'!$Q$94,'DADOS BASE'!$V$94*N30,
 IF(N30&gt;'DADOS BASE'!$Q$93,'DADOS BASE'!$V$93*N30,0)))</f>
        <v>19.96</v>
      </c>
      <c r="R30" s="99">
        <f t="shared" si="2"/>
        <v>1.1439050948478422E-2</v>
      </c>
      <c r="S30" s="13"/>
      <c r="T30" s="156">
        <v>0.51221558300000003</v>
      </c>
      <c r="U30" s="87">
        <f>IF(T30&gt;='DADOS BASE'!$Z$85,'DADOS BASE'!$AA$85*T30,
 IF(T30&gt;='DADOS BASE'!$U$85,'DADOS BASE'!$V$85*T30,
 IF(T30&gt;='DADOS BASE'!$Q$85,'DADOS BASE'!$R$85*T30,0)))</f>
        <v>0.51221558300000003</v>
      </c>
      <c r="V30" s="86">
        <v>0.154081365</v>
      </c>
      <c r="W30" s="87">
        <f>IF(V30&gt;='DADOS BASE'!$Z$86,'DADOS BASE'!$AA$86*V30,
 IF(V30&gt;='DADOS BASE'!$U$86,'DADOS BASE'!$V$86*V30,
 IF(V30&gt;='DADOS BASE'!$Q$86,'DADOS BASE'!$R$86*V30,0)))</f>
        <v>0.30816273</v>
      </c>
      <c r="X30" s="86">
        <v>1.09124E-3</v>
      </c>
      <c r="Y30" s="87">
        <f>IF(X30&gt;='DADOS BASE'!$Z$87,'DADOS BASE'!$AA$87*X30,
 IF(X30&gt;='DADOS BASE'!$U$87,'DADOS BASE'!$V$87*X30,
 IF(X30&gt;='DADOS BASE'!$Q$87,'DADOS BASE'!$R$87*X30,0)))</f>
        <v>0</v>
      </c>
      <c r="Z30" s="86">
        <f>U30/$U$10*'DADOS BASE'!$N$85+
 W30/$W$10*'DADOS BASE'!$N$86+
 Y30/$Y$10*'DADOS BASE'!$N$87</f>
        <v>1.7961574005630025E-2</v>
      </c>
      <c r="AA30" s="99"/>
      <c r="AB30" s="13"/>
    </row>
    <row r="31" spans="1:28" x14ac:dyDescent="0.3">
      <c r="A31" s="13"/>
      <c r="B31">
        <v>3987</v>
      </c>
      <c r="C31" s="111" t="s">
        <v>457</v>
      </c>
      <c r="D31" s="112" t="s">
        <v>458</v>
      </c>
      <c r="E31" t="s">
        <v>906</v>
      </c>
      <c r="F31" s="13"/>
      <c r="G31" s="181">
        <v>0.28989999999999999</v>
      </c>
      <c r="H31" s="86">
        <v>0.51939999999999997</v>
      </c>
      <c r="I31" s="86">
        <v>0.19070000000000001</v>
      </c>
      <c r="J31" s="86">
        <v>0.35799999999999998</v>
      </c>
      <c r="K31" s="88">
        <f>IF(J31&gt;'DADOS BASE'!$Q$79,'DADOS BASE'!$V$79*J31,
 IF(J31&gt;'DADOS BASE'!$Q$78,'DADOS BASE'!$V$78*J31,
 IF(J31&gt;'DADOS BASE'!$Q$77,'DADOS BASE'!$V$77*J31,
 IF(J31&gt;'DADOS BASE'!$Q$76,'DADOS BASE'!$V$76*J31,'DADOS BASE'!$V$75*J31))))</f>
        <v>0.17899999999999999</v>
      </c>
      <c r="L31" s="99">
        <f t="shared" si="1"/>
        <v>6.5856036496753185E-3</v>
      </c>
      <c r="M31" s="13"/>
      <c r="N31" s="160">
        <v>22.04</v>
      </c>
      <c r="O31" s="84">
        <v>13155.07</v>
      </c>
      <c r="P31" s="84">
        <v>597</v>
      </c>
      <c r="Q31" s="88">
        <f>IF(N31&gt;'DADOS BASE'!$Q$95,'DADOS BASE'!$V$95*N31,
 IF(N31&gt;'DADOS BASE'!$Q$94,'DADOS BASE'!$V$94*N31,
 IF(N31&gt;'DADOS BASE'!$Q$93,'DADOS BASE'!$V$93*N31,0)))</f>
        <v>55.099999999999994</v>
      </c>
      <c r="R31" s="99">
        <f t="shared" si="2"/>
        <v>3.1577740844747543E-2</v>
      </c>
      <c r="S31" s="13"/>
      <c r="T31" s="156">
        <v>0.51656497300000004</v>
      </c>
      <c r="U31" s="87">
        <f>IF(T31&gt;='DADOS BASE'!$Z$85,'DADOS BASE'!$AA$85*T31,
 IF(T31&gt;='DADOS BASE'!$U$85,'DADOS BASE'!$V$85*T31,
 IF(T31&gt;='DADOS BASE'!$Q$85,'DADOS BASE'!$R$85*T31,0)))</f>
        <v>0.51656497300000004</v>
      </c>
      <c r="V31" s="86">
        <v>0.202409282</v>
      </c>
      <c r="W31" s="87">
        <f>IF(V31&gt;='DADOS BASE'!$Z$86,'DADOS BASE'!$AA$86*V31,
 IF(V31&gt;='DADOS BASE'!$U$86,'DADOS BASE'!$V$86*V31,
 IF(V31&gt;='DADOS BASE'!$Q$86,'DADOS BASE'!$R$86*V31,0)))</f>
        <v>0.50602320499999998</v>
      </c>
      <c r="X31" s="86">
        <v>2.6647305999999999E-2</v>
      </c>
      <c r="Y31" s="87">
        <f>IF(X31&gt;='DADOS BASE'!$Z$87,'DADOS BASE'!$AA$87*X31,
 IF(X31&gt;='DADOS BASE'!$U$87,'DADOS BASE'!$V$87*X31,
 IF(X31&gt;='DADOS BASE'!$Q$87,'DADOS BASE'!$R$87*X31,0)))</f>
        <v>2.6647305999999999E-2</v>
      </c>
      <c r="Z31" s="86">
        <f>U31/$U$10*'DADOS BASE'!$N$85+
 W31/$W$10*'DADOS BASE'!$N$86+
 Y31/$Y$10*'DADOS BASE'!$N$87</f>
        <v>2.3284866476471759E-2</v>
      </c>
      <c r="AA31" s="99"/>
      <c r="AB31" s="13"/>
    </row>
    <row r="32" spans="1:28" x14ac:dyDescent="0.3">
      <c r="A32" s="13"/>
      <c r="B32">
        <v>3991</v>
      </c>
      <c r="C32" s="111" t="s">
        <v>469</v>
      </c>
      <c r="D32" s="112" t="s">
        <v>470</v>
      </c>
      <c r="E32" t="s">
        <v>907</v>
      </c>
      <c r="F32" s="13"/>
      <c r="G32" s="181">
        <v>0.39760000000000001</v>
      </c>
      <c r="H32" s="86">
        <v>0.3468</v>
      </c>
      <c r="I32" s="86">
        <v>0.25559999999999999</v>
      </c>
      <c r="J32" s="86">
        <v>0.53400000000000003</v>
      </c>
      <c r="K32" s="88">
        <f>IF(J32&gt;'DADOS BASE'!$Q$79,'DADOS BASE'!$V$79*J32,
 IF(J32&gt;'DADOS BASE'!$Q$78,'DADOS BASE'!$V$78*J32,
 IF(J32&gt;'DADOS BASE'!$Q$77,'DADOS BASE'!$V$77*J32,
 IF(J32&gt;'DADOS BASE'!$Q$76,'DADOS BASE'!$V$76*J32,'DADOS BASE'!$V$75*J32))))</f>
        <v>1.0680000000000001</v>
      </c>
      <c r="L32" s="99">
        <f t="shared" si="1"/>
        <v>3.9292875407001347E-2</v>
      </c>
      <c r="M32" s="13"/>
      <c r="N32" s="160">
        <v>23.3</v>
      </c>
      <c r="O32" s="84">
        <v>24876.79</v>
      </c>
      <c r="P32" s="84">
        <v>1067.5</v>
      </c>
      <c r="Q32" s="88">
        <f>IF(N32&gt;'DADOS BASE'!$Q$95,'DADOS BASE'!$V$95*N32,
 IF(N32&gt;'DADOS BASE'!$Q$94,'DADOS BASE'!$V$94*N32,
 IF(N32&gt;'DADOS BASE'!$Q$93,'DADOS BASE'!$V$93*N32,0)))</f>
        <v>58.25</v>
      </c>
      <c r="R32" s="99">
        <f t="shared" si="2"/>
        <v>3.3383001891225852E-2</v>
      </c>
      <c r="S32" s="13"/>
      <c r="T32" s="156">
        <v>0.56358087199999995</v>
      </c>
      <c r="U32" s="87">
        <f>IF(T32&gt;='DADOS BASE'!$Z$85,'DADOS BASE'!$AA$85*T32,
 IF(T32&gt;='DADOS BASE'!$U$85,'DADOS BASE'!$V$85*T32,
 IF(T32&gt;='DADOS BASE'!$Q$85,'DADOS BASE'!$R$85*T32,0)))</f>
        <v>0.56358087199999995</v>
      </c>
      <c r="V32" s="86">
        <v>8.7336023999999998E-2</v>
      </c>
      <c r="W32" s="87">
        <f>IF(V32&gt;='DADOS BASE'!$Z$86,'DADOS BASE'!$AA$86*V32,
 IF(V32&gt;='DADOS BASE'!$U$86,'DADOS BASE'!$V$86*V32,
 IF(V32&gt;='DADOS BASE'!$Q$86,'DADOS BASE'!$R$86*V32,0)))</f>
        <v>0</v>
      </c>
      <c r="X32" s="86">
        <v>4.0888269999999997E-3</v>
      </c>
      <c r="Y32" s="87">
        <f>IF(X32&gt;='DADOS BASE'!$Z$87,'DADOS BASE'!$AA$87*X32,
 IF(X32&gt;='DADOS BASE'!$U$87,'DADOS BASE'!$V$87*X32,
 IF(X32&gt;='DADOS BASE'!$Q$87,'DADOS BASE'!$R$87*X32,0)))</f>
        <v>0</v>
      </c>
      <c r="Z32" s="86">
        <f>U32/$U$10*'DADOS BASE'!$N$85+
 W32/$W$10*'DADOS BASE'!$N$86+
 Y32/$Y$10*'DADOS BASE'!$N$87</f>
        <v>1.4106436618298634E-2</v>
      </c>
      <c r="AA32" s="99"/>
      <c r="AB32" s="13"/>
    </row>
    <row r="33" spans="1:28" x14ac:dyDescent="0.3">
      <c r="A33" s="13"/>
      <c r="B33">
        <v>3982</v>
      </c>
      <c r="C33" s="111" t="s">
        <v>490</v>
      </c>
      <c r="D33" s="112" t="s">
        <v>491</v>
      </c>
      <c r="E33" t="s">
        <v>908</v>
      </c>
      <c r="F33" s="13"/>
      <c r="G33" s="181">
        <v>0.3906</v>
      </c>
      <c r="H33" s="86">
        <v>0.40460000000000002</v>
      </c>
      <c r="I33" s="86">
        <v>0.20469999999999999</v>
      </c>
      <c r="J33" s="86">
        <v>0.49099999999999999</v>
      </c>
      <c r="K33" s="88">
        <f>IF(J33&gt;'DADOS BASE'!$Q$79,'DADOS BASE'!$V$79*J33,
 IF(J33&gt;'DADOS BASE'!$Q$78,'DADOS BASE'!$V$78*J33,
 IF(J33&gt;'DADOS BASE'!$Q$77,'DADOS BASE'!$V$77*J33,
 IF(J33&gt;'DADOS BASE'!$Q$76,'DADOS BASE'!$V$76*J33,'DADOS BASE'!$V$75*J33))))</f>
        <v>0.73649999999999993</v>
      </c>
      <c r="L33" s="99">
        <f t="shared" si="1"/>
        <v>2.7096631776457384E-2</v>
      </c>
      <c r="M33" s="13"/>
      <c r="N33" s="160">
        <v>18.64</v>
      </c>
      <c r="O33" s="84">
        <v>24796.959999999999</v>
      </c>
      <c r="P33" s="84">
        <v>1330.5</v>
      </c>
      <c r="Q33" s="88">
        <f>IF(N33&gt;'DADOS BASE'!$Q$95,'DADOS BASE'!$V$95*N33,
 IF(N33&gt;'DADOS BASE'!$Q$94,'DADOS BASE'!$V$94*N33,
 IF(N33&gt;'DADOS BASE'!$Q$93,'DADOS BASE'!$V$93*N33,0)))</f>
        <v>18.64</v>
      </c>
      <c r="R33" s="99">
        <f t="shared" si="2"/>
        <v>1.0682560605192274E-2</v>
      </c>
      <c r="S33" s="13"/>
      <c r="T33" s="156">
        <v>0.67469007700000005</v>
      </c>
      <c r="U33" s="87">
        <f>IF(T33&gt;='DADOS BASE'!$Z$85,'DADOS BASE'!$AA$85*T33,
 IF(T33&gt;='DADOS BASE'!$U$85,'DADOS BASE'!$V$85*T33,
 IF(T33&gt;='DADOS BASE'!$Q$85,'DADOS BASE'!$R$85*T33,0)))</f>
        <v>1.3493801540000001</v>
      </c>
      <c r="V33" s="86">
        <v>0.163183887</v>
      </c>
      <c r="W33" s="87">
        <f>IF(V33&gt;='DADOS BASE'!$Z$86,'DADOS BASE'!$AA$86*V33,
 IF(V33&gt;='DADOS BASE'!$U$86,'DADOS BASE'!$V$86*V33,
 IF(V33&gt;='DADOS BASE'!$Q$86,'DADOS BASE'!$R$86*V33,0)))</f>
        <v>0.326367774</v>
      </c>
      <c r="X33" s="86">
        <v>1.6442602000000001E-2</v>
      </c>
      <c r="Y33" s="87">
        <f>IF(X33&gt;='DADOS BASE'!$Z$87,'DADOS BASE'!$AA$87*X33,
 IF(X33&gt;='DADOS BASE'!$U$87,'DADOS BASE'!$V$87*X33,
 IF(X33&gt;='DADOS BASE'!$Q$87,'DADOS BASE'!$R$87*X33,0)))</f>
        <v>0</v>
      </c>
      <c r="Z33" s="86">
        <f>U33/$U$10*'DADOS BASE'!$N$85+
 W33/$W$10*'DADOS BASE'!$N$86+
 Y33/$Y$10*'DADOS BASE'!$N$87</f>
        <v>3.92195131398098E-2</v>
      </c>
      <c r="AA33" s="99"/>
      <c r="AB33" s="13"/>
    </row>
    <row r="34" spans="1:28" x14ac:dyDescent="0.3">
      <c r="A34" s="13"/>
      <c r="B34">
        <v>3986</v>
      </c>
      <c r="C34" s="111" t="s">
        <v>510</v>
      </c>
      <c r="D34" s="112" t="s">
        <v>511</v>
      </c>
      <c r="E34" t="s">
        <v>909</v>
      </c>
      <c r="F34" s="13"/>
      <c r="G34" s="181">
        <v>0.32490000000000002</v>
      </c>
      <c r="H34" s="86">
        <v>0.55789999999999995</v>
      </c>
      <c r="I34" s="86">
        <v>0.1173</v>
      </c>
      <c r="J34" s="86">
        <v>0.36799999999999999</v>
      </c>
      <c r="K34" s="88">
        <f>IF(J34&gt;'DADOS BASE'!$Q$79,'DADOS BASE'!$V$79*J34,
 IF(J34&gt;'DADOS BASE'!$Q$78,'DADOS BASE'!$V$78*J34,
 IF(J34&gt;'DADOS BASE'!$Q$77,'DADOS BASE'!$V$77*J34,
 IF(J34&gt;'DADOS BASE'!$Q$76,'DADOS BASE'!$V$76*J34,'DADOS BASE'!$V$75*J34))))</f>
        <v>0.184</v>
      </c>
      <c r="L34" s="99">
        <f t="shared" si="1"/>
        <v>6.7695590588841264E-3</v>
      </c>
      <c r="M34" s="13"/>
      <c r="N34" s="160">
        <v>30.28</v>
      </c>
      <c r="O34" s="84">
        <v>38094.089999999997</v>
      </c>
      <c r="P34" s="84">
        <v>1258</v>
      </c>
      <c r="Q34" s="88">
        <f>IF(N34&gt;'DADOS BASE'!$Q$95,'DADOS BASE'!$V$95*N34,
 IF(N34&gt;'DADOS BASE'!$Q$94,'DADOS BASE'!$V$94*N34,
 IF(N34&gt;'DADOS BASE'!$Q$93,'DADOS BASE'!$V$93*N34,0)))</f>
        <v>75.7</v>
      </c>
      <c r="R34" s="99">
        <f t="shared" si="2"/>
        <v>4.3383574989970766E-2</v>
      </c>
      <c r="S34" s="13"/>
      <c r="T34" s="156">
        <v>0.443854739</v>
      </c>
      <c r="U34" s="87">
        <f>IF(T34&gt;='DADOS BASE'!$Z$85,'DADOS BASE'!$AA$85*T34,
 IF(T34&gt;='DADOS BASE'!$U$85,'DADOS BASE'!$V$85*T34,
 IF(T34&gt;='DADOS BASE'!$Q$85,'DADOS BASE'!$R$85*T34,0)))</f>
        <v>0</v>
      </c>
      <c r="V34" s="86">
        <v>0.149271985</v>
      </c>
      <c r="W34" s="87">
        <f>IF(V34&gt;='DADOS BASE'!$Z$86,'DADOS BASE'!$AA$86*V34,
 IF(V34&gt;='DADOS BASE'!$U$86,'DADOS BASE'!$V$86*V34,
 IF(V34&gt;='DADOS BASE'!$Q$86,'DADOS BASE'!$R$86*V34,0)))</f>
        <v>0.149271985</v>
      </c>
      <c r="X34" s="86">
        <v>6.9639960000000001E-3</v>
      </c>
      <c r="Y34" s="87">
        <f>IF(X34&gt;='DADOS BASE'!$Z$87,'DADOS BASE'!$AA$87*X34,
 IF(X34&gt;='DADOS BASE'!$U$87,'DADOS BASE'!$V$87*X34,
 IF(X34&gt;='DADOS BASE'!$Q$87,'DADOS BASE'!$R$87*X34,0)))</f>
        <v>0</v>
      </c>
      <c r="Z34" s="86">
        <f>U34/$U$10*'DADOS BASE'!$N$85+
 W34/$W$10*'DADOS BASE'!$N$86+
 Y34/$Y$10*'DADOS BASE'!$N$87</f>
        <v>2.490174911842339E-3</v>
      </c>
      <c r="AA34" s="99"/>
      <c r="AB34" s="13"/>
    </row>
    <row r="35" spans="1:28" x14ac:dyDescent="0.3">
      <c r="A35" s="13"/>
      <c r="B35">
        <v>3983</v>
      </c>
      <c r="C35" s="111" t="s">
        <v>532</v>
      </c>
      <c r="D35" s="112" t="s">
        <v>533</v>
      </c>
      <c r="E35" t="s">
        <v>910</v>
      </c>
      <c r="F35" s="13"/>
      <c r="G35" s="181">
        <v>0.26040000000000002</v>
      </c>
      <c r="H35" s="86">
        <v>0.5151</v>
      </c>
      <c r="I35" s="86">
        <v>0.22450000000000001</v>
      </c>
      <c r="J35" s="86">
        <v>0.33600000000000002</v>
      </c>
      <c r="K35" s="88">
        <f>IF(J35&gt;'DADOS BASE'!$Q$79,'DADOS BASE'!$V$79*J35,
 IF(J35&gt;'DADOS BASE'!$Q$78,'DADOS BASE'!$V$78*J35,
 IF(J35&gt;'DADOS BASE'!$Q$77,'DADOS BASE'!$V$77*J35,
 IF(J35&gt;'DADOS BASE'!$Q$76,'DADOS BASE'!$V$76*J35,'DADOS BASE'!$V$75*J35))))</f>
        <v>0.16800000000000001</v>
      </c>
      <c r="L35" s="99">
        <f t="shared" si="1"/>
        <v>6.1809017494159424E-3</v>
      </c>
      <c r="M35" s="13"/>
      <c r="N35" s="160">
        <v>21.22</v>
      </c>
      <c r="O35" s="84">
        <v>25394.73</v>
      </c>
      <c r="P35" s="84">
        <v>1197</v>
      </c>
      <c r="Q35" s="88">
        <f>IF(N35&gt;'DADOS BASE'!$Q$95,'DADOS BASE'!$V$95*N35,
 IF(N35&gt;'DADOS BASE'!$Q$94,'DADOS BASE'!$V$94*N35,
 IF(N35&gt;'DADOS BASE'!$Q$93,'DADOS BASE'!$V$93*N35,0)))</f>
        <v>42.44</v>
      </c>
      <c r="R35" s="99">
        <f t="shared" si="2"/>
        <v>2.4322310734139485E-2</v>
      </c>
      <c r="S35" s="13"/>
      <c r="T35" s="156">
        <v>0.67792631699999994</v>
      </c>
      <c r="U35" s="87">
        <f>IF(T35&gt;='DADOS BASE'!$Z$85,'DADOS BASE'!$AA$85*T35,
 IF(T35&gt;='DADOS BASE'!$U$85,'DADOS BASE'!$V$85*T35,
 IF(T35&gt;='DADOS BASE'!$Q$85,'DADOS BASE'!$R$85*T35,0)))</f>
        <v>1.3558526339999999</v>
      </c>
      <c r="V35" s="86">
        <v>7.8353887999999997E-2</v>
      </c>
      <c r="W35" s="87">
        <f>IF(V35&gt;='DADOS BASE'!$Z$86,'DADOS BASE'!$AA$86*V35,
 IF(V35&gt;='DADOS BASE'!$U$86,'DADOS BASE'!$V$86*V35,
 IF(V35&gt;='DADOS BASE'!$Q$86,'DADOS BASE'!$R$86*V35,0)))</f>
        <v>0</v>
      </c>
      <c r="X35" s="86">
        <v>2.3441271999999999E-2</v>
      </c>
      <c r="Y35" s="87">
        <f>IF(X35&gt;='DADOS BASE'!$Z$87,'DADOS BASE'!$AA$87*X35,
 IF(X35&gt;='DADOS BASE'!$U$87,'DADOS BASE'!$V$87*X35,
 IF(X35&gt;='DADOS BASE'!$Q$87,'DADOS BASE'!$R$87*X35,0)))</f>
        <v>0</v>
      </c>
      <c r="Z35" s="86">
        <f>U35/$U$10*'DADOS BASE'!$N$85+
 W35/$W$10*'DADOS BASE'!$N$86+
 Y35/$Y$10*'DADOS BASE'!$N$87</f>
        <v>3.3937009212892971E-2</v>
      </c>
      <c r="AA35" s="99"/>
      <c r="AB35" s="13"/>
    </row>
    <row r="36" spans="1:28" x14ac:dyDescent="0.3">
      <c r="A36" s="13"/>
      <c r="B36">
        <v>3994</v>
      </c>
      <c r="C36" s="111" t="s">
        <v>532</v>
      </c>
      <c r="D36" s="112" t="s">
        <v>550</v>
      </c>
      <c r="E36" t="s">
        <v>911</v>
      </c>
      <c r="F36" s="13"/>
      <c r="G36" s="181">
        <v>0.29930000000000001</v>
      </c>
      <c r="H36" s="86">
        <v>0.56859999999999999</v>
      </c>
      <c r="I36" s="86">
        <v>0.13200000000000001</v>
      </c>
      <c r="J36" s="86">
        <v>0.34499999999999997</v>
      </c>
      <c r="K36" s="88">
        <f>IF(J36&gt;'DADOS BASE'!$Q$79,'DADOS BASE'!$V$79*J36,
 IF(J36&gt;'DADOS BASE'!$Q$78,'DADOS BASE'!$V$78*J36,
 IF(J36&gt;'DADOS BASE'!$Q$77,'DADOS BASE'!$V$77*J36,
 IF(J36&gt;'DADOS BASE'!$Q$76,'DADOS BASE'!$V$76*J36,'DADOS BASE'!$V$75*J36))))</f>
        <v>0.17249999999999999</v>
      </c>
      <c r="L36" s="99">
        <f t="shared" si="1"/>
        <v>6.3464616177038684E-3</v>
      </c>
      <c r="M36" s="13"/>
      <c r="N36" s="160">
        <v>22.64</v>
      </c>
      <c r="O36" s="84">
        <v>10605.05</v>
      </c>
      <c r="P36" s="84">
        <v>468.5</v>
      </c>
      <c r="Q36" s="88">
        <f>IF(N36&gt;'DADOS BASE'!$Q$95,'DADOS BASE'!$V$95*N36,
 IF(N36&gt;'DADOS BASE'!$Q$94,'DADOS BASE'!$V$94*N36,
 IF(N36&gt;'DADOS BASE'!$Q$93,'DADOS BASE'!$V$93*N36,0)))</f>
        <v>56.6</v>
      </c>
      <c r="R36" s="99">
        <f t="shared" si="2"/>
        <v>3.2437388962118167E-2</v>
      </c>
      <c r="S36" s="13"/>
      <c r="T36" s="156">
        <v>0.60748742</v>
      </c>
      <c r="U36" s="87">
        <f>IF(T36&gt;='DADOS BASE'!$Z$85,'DADOS BASE'!$AA$85*T36,
 IF(T36&gt;='DADOS BASE'!$U$85,'DADOS BASE'!$V$85*T36,
 IF(T36&gt;='DADOS BASE'!$Q$85,'DADOS BASE'!$R$85*T36,0)))</f>
        <v>1.21497484</v>
      </c>
      <c r="V36" s="86">
        <v>0.20138658500000001</v>
      </c>
      <c r="W36" s="87">
        <f>IF(V36&gt;='DADOS BASE'!$Z$86,'DADOS BASE'!$AA$86*V36,
 IF(V36&gt;='DADOS BASE'!$U$86,'DADOS BASE'!$V$86*V36,
 IF(V36&gt;='DADOS BASE'!$Q$86,'DADOS BASE'!$R$86*V36,0)))</f>
        <v>0.50346646250000004</v>
      </c>
      <c r="X36" s="86">
        <v>4.9376317000000003E-2</v>
      </c>
      <c r="Y36" s="87">
        <f>IF(X36&gt;='DADOS BASE'!$Z$87,'DADOS BASE'!$AA$87*X36,
 IF(X36&gt;='DADOS BASE'!$U$87,'DADOS BASE'!$V$87*X36,
 IF(X36&gt;='DADOS BASE'!$Q$87,'DADOS BASE'!$R$87*X36,0)))</f>
        <v>4.9376317000000003E-2</v>
      </c>
      <c r="Z36" s="86">
        <f>U36/$U$10*'DADOS BASE'!$N$85+
 W36/$W$10*'DADOS BASE'!$N$86+
 Y36/$Y$10*'DADOS BASE'!$N$87</f>
        <v>4.2355720607244095E-2</v>
      </c>
      <c r="AA36" s="99"/>
      <c r="AB36" s="13"/>
    </row>
    <row r="37" spans="1:28" x14ac:dyDescent="0.3">
      <c r="A37" s="13"/>
      <c r="B37">
        <v>3978</v>
      </c>
      <c r="C37" s="111" t="s">
        <v>558</v>
      </c>
      <c r="D37" s="112" t="s">
        <v>559</v>
      </c>
      <c r="E37" t="s">
        <v>912</v>
      </c>
      <c r="F37" s="13"/>
      <c r="G37" s="181">
        <v>0.43559999999999999</v>
      </c>
      <c r="H37" s="86">
        <v>0.42899999999999999</v>
      </c>
      <c r="I37" s="86">
        <v>0.13550000000000001</v>
      </c>
      <c r="J37" s="86">
        <v>0.504</v>
      </c>
      <c r="K37" s="88">
        <f>IF(J37&gt;'DADOS BASE'!$Q$79,'DADOS BASE'!$V$79*J37,
 IF(J37&gt;'DADOS BASE'!$Q$78,'DADOS BASE'!$V$78*J37,
 IF(J37&gt;'DADOS BASE'!$Q$77,'DADOS BASE'!$V$77*J37,
 IF(J37&gt;'DADOS BASE'!$Q$76,'DADOS BASE'!$V$76*J37,'DADOS BASE'!$V$75*J37))))</f>
        <v>0.75600000000000001</v>
      </c>
      <c r="L37" s="99">
        <f t="shared" si="1"/>
        <v>2.781405787237174E-2</v>
      </c>
      <c r="M37" s="13"/>
      <c r="N37" s="160">
        <v>22.8</v>
      </c>
      <c r="O37" s="84">
        <v>29222.99</v>
      </c>
      <c r="P37" s="84">
        <v>1281.5</v>
      </c>
      <c r="Q37" s="88">
        <f>IF(N37&gt;'DADOS BASE'!$Q$95,'DADOS BASE'!$V$95*N37,
 IF(N37&gt;'DADOS BASE'!$Q$94,'DADOS BASE'!$V$94*N37,
 IF(N37&gt;'DADOS BASE'!$Q$93,'DADOS BASE'!$V$93*N37,0)))</f>
        <v>57</v>
      </c>
      <c r="R37" s="99">
        <f t="shared" si="2"/>
        <v>3.2666628460083669E-2</v>
      </c>
      <c r="S37" s="13"/>
      <c r="T37" s="156">
        <v>0.62067367500000004</v>
      </c>
      <c r="U37" s="87">
        <f>IF(T37&gt;='DADOS BASE'!$Z$85,'DADOS BASE'!$AA$85*T37,
 IF(T37&gt;='DADOS BASE'!$U$85,'DADOS BASE'!$V$85*T37,
 IF(T37&gt;='DADOS BASE'!$Q$85,'DADOS BASE'!$R$85*T37,0)))</f>
        <v>1.2413473500000001</v>
      </c>
      <c r="V37" s="86">
        <v>0.184932764</v>
      </c>
      <c r="W37" s="87">
        <f>IF(V37&gt;='DADOS BASE'!$Z$86,'DADOS BASE'!$AA$86*V37,
 IF(V37&gt;='DADOS BASE'!$U$86,'DADOS BASE'!$V$86*V37,
 IF(V37&gt;='DADOS BASE'!$Q$86,'DADOS BASE'!$R$86*V37,0)))</f>
        <v>0.369865528</v>
      </c>
      <c r="X37" s="86">
        <v>2.2867591E-2</v>
      </c>
      <c r="Y37" s="87">
        <f>IF(X37&gt;='DADOS BASE'!$Z$87,'DADOS BASE'!$AA$87*X37,
 IF(X37&gt;='DADOS BASE'!$U$87,'DADOS BASE'!$V$87*X37,
 IF(X37&gt;='DADOS BASE'!$Q$87,'DADOS BASE'!$R$87*X37,0)))</f>
        <v>0</v>
      </c>
      <c r="Z37" s="86">
        <f>U37/$U$10*'DADOS BASE'!$N$85+
 W37/$W$10*'DADOS BASE'!$N$86+
 Y37/$Y$10*'DADOS BASE'!$N$87</f>
        <v>3.7241085899267709E-2</v>
      </c>
      <c r="AA37" s="99"/>
      <c r="AB37" s="13"/>
    </row>
    <row r="38" spans="1:28" x14ac:dyDescent="0.3">
      <c r="A38" s="13"/>
      <c r="B38">
        <v>4006</v>
      </c>
      <c r="C38" s="111" t="s">
        <v>580</v>
      </c>
      <c r="D38" s="112" t="s">
        <v>581</v>
      </c>
      <c r="E38" t="s">
        <v>913</v>
      </c>
      <c r="F38" s="13"/>
      <c r="G38" s="181">
        <v>0.2029</v>
      </c>
      <c r="H38" s="86">
        <v>0.2041</v>
      </c>
      <c r="I38" s="86">
        <v>0.59299999999999997</v>
      </c>
      <c r="J38" s="86">
        <v>0.498</v>
      </c>
      <c r="K38" s="88">
        <f>IF(J38&gt;'DADOS BASE'!$Q$79,'DADOS BASE'!$V$79*J38,
 IF(J38&gt;'DADOS BASE'!$Q$78,'DADOS BASE'!$V$78*J38,
 IF(J38&gt;'DADOS BASE'!$Q$77,'DADOS BASE'!$V$77*J38,
 IF(J38&gt;'DADOS BASE'!$Q$76,'DADOS BASE'!$V$76*J38,'DADOS BASE'!$V$75*J38))))</f>
        <v>0.747</v>
      </c>
      <c r="L38" s="99">
        <f t="shared" si="1"/>
        <v>2.7482938135795883E-2</v>
      </c>
      <c r="M38" s="13"/>
      <c r="N38" s="160">
        <v>20.149999999999999</v>
      </c>
      <c r="O38" s="84">
        <v>25722.41</v>
      </c>
      <c r="P38" s="84">
        <v>1276.5</v>
      </c>
      <c r="Q38" s="88">
        <f>IF(N38&gt;'DADOS BASE'!$Q$95,'DADOS BASE'!$V$95*N38,
 IF(N38&gt;'DADOS BASE'!$Q$94,'DADOS BASE'!$V$94*N38,
 IF(N38&gt;'DADOS BASE'!$Q$93,'DADOS BASE'!$V$93*N38,0)))</f>
        <v>40.299999999999997</v>
      </c>
      <c r="R38" s="99">
        <f t="shared" si="2"/>
        <v>2.3095879420024064E-2</v>
      </c>
      <c r="S38" s="13"/>
      <c r="T38" s="156">
        <v>0.61271686700000005</v>
      </c>
      <c r="U38" s="87">
        <f>IF(T38&gt;='DADOS BASE'!$Z$85,'DADOS BASE'!$AA$85*T38,
 IF(T38&gt;='DADOS BASE'!$U$85,'DADOS BASE'!$V$85*T38,
 IF(T38&gt;='DADOS BASE'!$Q$85,'DADOS BASE'!$R$85*T38,0)))</f>
        <v>1.2254337340000001</v>
      </c>
      <c r="V38" s="86">
        <v>0.13516449899999999</v>
      </c>
      <c r="W38" s="87">
        <f>IF(V38&gt;='DADOS BASE'!$Z$86,'DADOS BASE'!$AA$86*V38,
 IF(V38&gt;='DADOS BASE'!$U$86,'DADOS BASE'!$V$86*V38,
 IF(V38&gt;='DADOS BASE'!$Q$86,'DADOS BASE'!$R$86*V38,0)))</f>
        <v>0.13516449899999999</v>
      </c>
      <c r="X38" s="86">
        <v>1.8376250000000001E-3</v>
      </c>
      <c r="Y38" s="87">
        <f>IF(X38&gt;='DADOS BASE'!$Z$87,'DADOS BASE'!$AA$87*X38,
 IF(X38&gt;='DADOS BASE'!$U$87,'DADOS BASE'!$V$87*X38,
 IF(X38&gt;='DADOS BASE'!$Q$87,'DADOS BASE'!$R$87*X38,0)))</f>
        <v>0</v>
      </c>
      <c r="Z38" s="86">
        <f>U38/$U$10*'DADOS BASE'!$N$85+
 W38/$W$10*'DADOS BASE'!$N$86+
 Y38/$Y$10*'DADOS BASE'!$N$87</f>
        <v>3.2927454407803133E-2</v>
      </c>
      <c r="AA38" s="99"/>
      <c r="AB38" s="13"/>
    </row>
    <row r="39" spans="1:28" x14ac:dyDescent="0.3">
      <c r="A39" s="13"/>
      <c r="B39">
        <v>4009</v>
      </c>
      <c r="C39" s="111" t="s">
        <v>608</v>
      </c>
      <c r="D39" s="112" t="s">
        <v>609</v>
      </c>
      <c r="E39" t="s">
        <v>914</v>
      </c>
      <c r="F39" s="13"/>
      <c r="G39" s="181">
        <v>0.1996</v>
      </c>
      <c r="H39" s="86">
        <v>0.37559999999999999</v>
      </c>
      <c r="I39" s="86">
        <v>0.42480000000000001</v>
      </c>
      <c r="J39" s="86">
        <v>0.34699999999999998</v>
      </c>
      <c r="K39" s="88">
        <f>IF(J39&gt;'DADOS BASE'!$Q$79,'DADOS BASE'!$V$79*J39,
 IF(J39&gt;'DADOS BASE'!$Q$78,'DADOS BASE'!$V$78*J39,
 IF(J39&gt;'DADOS BASE'!$Q$77,'DADOS BASE'!$V$77*J39,
 IF(J39&gt;'DADOS BASE'!$Q$76,'DADOS BASE'!$V$76*J39,'DADOS BASE'!$V$75*J39))))</f>
        <v>0.17349999999999999</v>
      </c>
      <c r="L39" s="99">
        <f t="shared" si="1"/>
        <v>6.3832526995456296E-3</v>
      </c>
      <c r="M39" s="13"/>
      <c r="N39" s="160">
        <v>21.85</v>
      </c>
      <c r="O39" s="84">
        <v>18220.32</v>
      </c>
      <c r="P39" s="84">
        <v>834</v>
      </c>
      <c r="Q39" s="88">
        <f>IF(N39&gt;'DADOS BASE'!$Q$95,'DADOS BASE'!$V$95*N39,
 IF(N39&gt;'DADOS BASE'!$Q$94,'DADOS BASE'!$V$94*N39,
 IF(N39&gt;'DADOS BASE'!$Q$93,'DADOS BASE'!$V$93*N39,0)))</f>
        <v>43.7</v>
      </c>
      <c r="R39" s="99">
        <f t="shared" si="2"/>
        <v>2.5044415152730811E-2</v>
      </c>
      <c r="S39" s="13"/>
      <c r="T39" s="156">
        <v>0.54100000000000004</v>
      </c>
      <c r="U39" s="87">
        <f>IF(T39&gt;='DADOS BASE'!$Z$85,'DADOS BASE'!$AA$85*T39,
 IF(T39&gt;='DADOS BASE'!$U$85,'DADOS BASE'!$V$85*T39,
 IF(T39&gt;='DADOS BASE'!$Q$85,'DADOS BASE'!$R$85*T39,0)))</f>
        <v>0.54100000000000004</v>
      </c>
      <c r="V39" s="86">
        <v>0.16400000000000001</v>
      </c>
      <c r="W39" s="87">
        <f>IF(V39&gt;='DADOS BASE'!$Z$86,'DADOS BASE'!$AA$86*V39,
 IF(V39&gt;='DADOS BASE'!$U$86,'DADOS BASE'!$V$86*V39,
 IF(V39&gt;='DADOS BASE'!$Q$86,'DADOS BASE'!$R$86*V39,0)))</f>
        <v>0.32800000000000001</v>
      </c>
      <c r="X39" s="86">
        <v>1.9E-2</v>
      </c>
      <c r="Y39" s="87">
        <f>IF(X39&gt;='DADOS BASE'!$Z$87,'DADOS BASE'!$AA$87*X39,
 IF(X39&gt;='DADOS BASE'!$U$87,'DADOS BASE'!$V$87*X39,
 IF(X39&gt;='DADOS BASE'!$Q$87,'DADOS BASE'!$R$87*X39,0)))</f>
        <v>0</v>
      </c>
      <c r="Z39" s="86">
        <f>U39/$U$10*'DADOS BASE'!$N$85+
 W39/$W$10*'DADOS BASE'!$N$86+
 Y39/$Y$10*'DADOS BASE'!$N$87</f>
        <v>1.9012976291256437E-2</v>
      </c>
      <c r="AA39" s="99"/>
      <c r="AB39" s="13"/>
    </row>
    <row r="40" spans="1:28" x14ac:dyDescent="0.3">
      <c r="A40" s="13"/>
      <c r="B40">
        <v>3973</v>
      </c>
      <c r="C40" s="111" t="s">
        <v>608</v>
      </c>
      <c r="D40" s="112" t="s">
        <v>618</v>
      </c>
      <c r="E40" t="s">
        <v>915</v>
      </c>
      <c r="F40" s="13"/>
      <c r="G40" s="181">
        <v>0.64259999999999995</v>
      </c>
      <c r="H40" s="86">
        <v>0.21829999999999999</v>
      </c>
      <c r="I40" s="86">
        <v>0.1391</v>
      </c>
      <c r="J40" s="86">
        <v>0.746</v>
      </c>
      <c r="K40" s="88">
        <f>IF(J40&gt;'DADOS BASE'!$Q$79,'DADOS BASE'!$V$79*J40,
 IF(J40&gt;'DADOS BASE'!$Q$78,'DADOS BASE'!$V$78*J40,
 IF(J40&gt;'DADOS BASE'!$Q$77,'DADOS BASE'!$V$77*J40,
 IF(J40&gt;'DADOS BASE'!$Q$76,'DADOS BASE'!$V$76*J40,'DADOS BASE'!$V$75*J40))))</f>
        <v>1.865</v>
      </c>
      <c r="L40" s="99">
        <f t="shared" si="1"/>
        <v>6.8615367634885308E-2</v>
      </c>
      <c r="M40" s="13"/>
      <c r="N40" s="160">
        <v>21.75</v>
      </c>
      <c r="O40" s="84">
        <v>18071.36</v>
      </c>
      <c r="P40" s="84">
        <v>1192.5</v>
      </c>
      <c r="Q40" s="88">
        <f>IF(N40&gt;'DADOS BASE'!$Q$95,'DADOS BASE'!$V$95*N40,
 IF(N40&gt;'DADOS BASE'!$Q$94,'DADOS BASE'!$V$94*N40,
 IF(N40&gt;'DADOS BASE'!$Q$93,'DADOS BASE'!$V$93*N40,0)))</f>
        <v>43.5</v>
      </c>
      <c r="R40" s="99">
        <f t="shared" si="2"/>
        <v>2.492979540374806E-2</v>
      </c>
      <c r="S40" s="13"/>
      <c r="T40" s="156">
        <v>0.54100000000000004</v>
      </c>
      <c r="U40" s="87">
        <f>IF(T40&gt;='DADOS BASE'!$Z$85,'DADOS BASE'!$AA$85*T40,
 IF(T40&gt;='DADOS BASE'!$U$85,'DADOS BASE'!$V$85*T40,
 IF(T40&gt;='DADOS BASE'!$Q$85,'DADOS BASE'!$R$85*T40,0)))</f>
        <v>0.54100000000000004</v>
      </c>
      <c r="V40" s="86">
        <v>0.16400000000000001</v>
      </c>
      <c r="W40" s="87">
        <f>IF(V40&gt;='DADOS BASE'!$Z$86,'DADOS BASE'!$AA$86*V40,
 IF(V40&gt;='DADOS BASE'!$U$86,'DADOS BASE'!$V$86*V40,
 IF(V40&gt;='DADOS BASE'!$Q$86,'DADOS BASE'!$R$86*V40,0)))</f>
        <v>0.32800000000000001</v>
      </c>
      <c r="X40" s="86">
        <v>1.9E-2</v>
      </c>
      <c r="Y40" s="87">
        <f>IF(X40&gt;='DADOS BASE'!$Z$87,'DADOS BASE'!$AA$87*X40,
 IF(X40&gt;='DADOS BASE'!$U$87,'DADOS BASE'!$V$87*X40,
 IF(X40&gt;='DADOS BASE'!$Q$87,'DADOS BASE'!$R$87*X40,0)))</f>
        <v>0</v>
      </c>
      <c r="Z40" s="86">
        <f>U40/$U$10*'DADOS BASE'!$N$85+
 W40/$W$10*'DADOS BASE'!$N$86+
 Y40/$Y$10*'DADOS BASE'!$N$87</f>
        <v>1.9012976291256437E-2</v>
      </c>
      <c r="AA40" s="99"/>
      <c r="AB40" s="13"/>
    </row>
    <row r="41" spans="1:28" x14ac:dyDescent="0.3">
      <c r="A41" s="13"/>
      <c r="B41">
        <v>3990</v>
      </c>
      <c r="C41" s="111" t="s">
        <v>608</v>
      </c>
      <c r="D41" s="112" t="s">
        <v>633</v>
      </c>
      <c r="E41" t="s">
        <v>916</v>
      </c>
      <c r="F41" s="13"/>
      <c r="G41" s="181">
        <v>0.36980000000000002</v>
      </c>
      <c r="H41" s="86">
        <v>0.40760000000000002</v>
      </c>
      <c r="I41" s="86">
        <v>0.22259999999999999</v>
      </c>
      <c r="J41" s="86">
        <v>0.47599999999999998</v>
      </c>
      <c r="K41" s="88">
        <f>IF(J41&gt;'DADOS BASE'!$Q$79,'DADOS BASE'!$V$79*J41,
 IF(J41&gt;'DADOS BASE'!$Q$78,'DADOS BASE'!$V$78*J41,
 IF(J41&gt;'DADOS BASE'!$Q$77,'DADOS BASE'!$V$77*J41,
 IF(J41&gt;'DADOS BASE'!$Q$76,'DADOS BASE'!$V$76*J41,'DADOS BASE'!$V$75*J41))))</f>
        <v>0.71399999999999997</v>
      </c>
      <c r="L41" s="99">
        <f t="shared" si="1"/>
        <v>2.6268832435017753E-2</v>
      </c>
      <c r="M41" s="13"/>
      <c r="N41" s="160">
        <v>18.579999999999998</v>
      </c>
      <c r="O41" s="84">
        <v>19183.32</v>
      </c>
      <c r="P41" s="84">
        <v>1032.5</v>
      </c>
      <c r="Q41" s="88">
        <f>IF(N41&gt;'DADOS BASE'!$Q$95,'DADOS BASE'!$V$95*N41,
 IF(N41&gt;'DADOS BASE'!$Q$94,'DADOS BASE'!$V$94*N41,
 IF(N41&gt;'DADOS BASE'!$Q$93,'DADOS BASE'!$V$93*N41,0)))</f>
        <v>18.579999999999998</v>
      </c>
      <c r="R41" s="99">
        <f t="shared" si="2"/>
        <v>1.0648174680497446E-2</v>
      </c>
      <c r="S41" s="13"/>
      <c r="T41" s="156">
        <v>0.61302476900000002</v>
      </c>
      <c r="U41" s="87">
        <f>IF(T41&gt;='DADOS BASE'!$Z$85,'DADOS BASE'!$AA$85*T41,
 IF(T41&gt;='DADOS BASE'!$U$85,'DADOS BASE'!$V$85*T41,
 IF(T41&gt;='DADOS BASE'!$Q$85,'DADOS BASE'!$R$85*T41,0)))</f>
        <v>1.226049538</v>
      </c>
      <c r="V41" s="86">
        <v>0.171978039</v>
      </c>
      <c r="W41" s="87">
        <f>IF(V41&gt;='DADOS BASE'!$Z$86,'DADOS BASE'!$AA$86*V41,
 IF(V41&gt;='DADOS BASE'!$U$86,'DADOS BASE'!$V$86*V41,
 IF(V41&gt;='DADOS BASE'!$Q$86,'DADOS BASE'!$R$86*V41,0)))</f>
        <v>0.343956078</v>
      </c>
      <c r="X41" s="86">
        <v>4.6444724E-2</v>
      </c>
      <c r="Y41" s="87">
        <f>IF(X41&gt;='DADOS BASE'!$Z$87,'DADOS BASE'!$AA$87*X41,
 IF(X41&gt;='DADOS BASE'!$U$87,'DADOS BASE'!$V$87*X41,
 IF(X41&gt;='DADOS BASE'!$Q$87,'DADOS BASE'!$R$87*X41,0)))</f>
        <v>4.6444724E-2</v>
      </c>
      <c r="Z41" s="86">
        <f>U41/$U$10*'DADOS BASE'!$N$85+
 W41/$W$10*'DADOS BASE'!$N$86+
 Y41/$Y$10*'DADOS BASE'!$N$87</f>
        <v>3.9761413047181705E-2</v>
      </c>
      <c r="AA41" s="99"/>
      <c r="AB41" s="13"/>
    </row>
    <row r="42" spans="1:28" x14ac:dyDescent="0.3">
      <c r="A42" s="13"/>
      <c r="B42">
        <v>3989</v>
      </c>
      <c r="C42" s="111" t="s">
        <v>608</v>
      </c>
      <c r="D42" s="112" t="s">
        <v>648</v>
      </c>
      <c r="E42" t="s">
        <v>917</v>
      </c>
      <c r="F42" s="13"/>
      <c r="G42" s="181">
        <v>0.32440000000000002</v>
      </c>
      <c r="H42" s="86">
        <v>0.36809999999999998</v>
      </c>
      <c r="I42" s="86">
        <v>0.3075</v>
      </c>
      <c r="J42" s="86">
        <v>0.46800000000000003</v>
      </c>
      <c r="K42" s="88">
        <f>IF(J42&gt;'DADOS BASE'!$Q$79,'DADOS BASE'!$V$79*J42,
 IF(J42&gt;'DADOS BASE'!$Q$78,'DADOS BASE'!$V$78*J42,
 IF(J42&gt;'DADOS BASE'!$Q$77,'DADOS BASE'!$V$77*J42,
 IF(J42&gt;'DADOS BASE'!$Q$76,'DADOS BASE'!$V$76*J42,'DADOS BASE'!$V$75*J42))))</f>
        <v>0.46800000000000003</v>
      </c>
      <c r="L42" s="99">
        <f t="shared" si="1"/>
        <v>1.721822630194441E-2</v>
      </c>
      <c r="M42" s="13"/>
      <c r="N42" s="160">
        <v>22.21</v>
      </c>
      <c r="O42" s="84">
        <v>20764.04</v>
      </c>
      <c r="P42" s="84">
        <v>935</v>
      </c>
      <c r="Q42" s="88">
        <f>IF(N42&gt;'DADOS BASE'!$Q$95,'DADOS BASE'!$V$95*N42,
 IF(N42&gt;'DADOS BASE'!$Q$94,'DADOS BASE'!$V$94*N42,
 IF(N42&gt;'DADOS BASE'!$Q$93,'DADOS BASE'!$V$93*N42,0)))</f>
        <v>55.525000000000006</v>
      </c>
      <c r="R42" s="99">
        <f t="shared" si="2"/>
        <v>3.1821307811335887E-2</v>
      </c>
      <c r="S42" s="13"/>
      <c r="T42" s="156">
        <v>0.63711683900000005</v>
      </c>
      <c r="U42" s="87">
        <f>IF(T42&gt;='DADOS BASE'!$Z$85,'DADOS BASE'!$AA$85*T42,
 IF(T42&gt;='DADOS BASE'!$U$85,'DADOS BASE'!$V$85*T42,
 IF(T42&gt;='DADOS BASE'!$Q$85,'DADOS BASE'!$R$85*T42,0)))</f>
        <v>1.2742336780000001</v>
      </c>
      <c r="V42" s="86">
        <v>0.15545948500000001</v>
      </c>
      <c r="W42" s="87">
        <f>IF(V42&gt;='DADOS BASE'!$Z$86,'DADOS BASE'!$AA$86*V42,
 IF(V42&gt;='DADOS BASE'!$U$86,'DADOS BASE'!$V$86*V42,
 IF(V42&gt;='DADOS BASE'!$Q$86,'DADOS BASE'!$R$86*V42,0)))</f>
        <v>0.31091897000000002</v>
      </c>
      <c r="X42" s="86">
        <v>2.6274978000000001E-2</v>
      </c>
      <c r="Y42" s="87">
        <f>IF(X42&gt;='DADOS BASE'!$Z$87,'DADOS BASE'!$AA$87*X42,
 IF(X42&gt;='DADOS BASE'!$U$87,'DADOS BASE'!$V$87*X42,
 IF(X42&gt;='DADOS BASE'!$Q$87,'DADOS BASE'!$R$87*X42,0)))</f>
        <v>2.6274978000000001E-2</v>
      </c>
      <c r="Z42" s="86">
        <f>U42/$U$10*'DADOS BASE'!$N$85+
 W42/$W$10*'DADOS BASE'!$N$86+
 Y42/$Y$10*'DADOS BASE'!$N$87</f>
        <v>3.896783059388062E-2</v>
      </c>
      <c r="AA42" s="99"/>
      <c r="AB42" s="13"/>
    </row>
    <row r="43" spans="1:28" x14ac:dyDescent="0.3">
      <c r="A43" s="13"/>
      <c r="B43">
        <v>3988</v>
      </c>
      <c r="C43" s="111" t="s">
        <v>662</v>
      </c>
      <c r="D43" s="112" t="s">
        <v>663</v>
      </c>
      <c r="E43" t="s">
        <v>918</v>
      </c>
      <c r="F43" s="13"/>
      <c r="G43" s="181">
        <v>0.43430000000000002</v>
      </c>
      <c r="H43" s="86">
        <v>0.4325</v>
      </c>
      <c r="I43" s="86">
        <v>0.13320000000000001</v>
      </c>
      <c r="J43" s="86">
        <v>0.501</v>
      </c>
      <c r="K43" s="88">
        <f>IF(J43&gt;'DADOS BASE'!$Q$79,'DADOS BASE'!$V$79*J43,
 IF(J43&gt;'DADOS BASE'!$Q$78,'DADOS BASE'!$V$78*J43,
 IF(J43&gt;'DADOS BASE'!$Q$77,'DADOS BASE'!$V$77*J43,
 IF(J43&gt;'DADOS BASE'!$Q$76,'DADOS BASE'!$V$76*J43,'DADOS BASE'!$V$75*J43))))</f>
        <v>0.75150000000000006</v>
      </c>
      <c r="L43" s="99">
        <f t="shared" si="1"/>
        <v>2.7648498004083814E-2</v>
      </c>
      <c r="M43" s="13"/>
      <c r="N43" s="160">
        <v>23.72</v>
      </c>
      <c r="O43" s="84">
        <v>35776.31</v>
      </c>
      <c r="P43" s="84">
        <v>1508</v>
      </c>
      <c r="Q43" s="88">
        <f>IF(N43&gt;'DADOS BASE'!$Q$95,'DADOS BASE'!$V$95*N43,
 IF(N43&gt;'DADOS BASE'!$Q$94,'DADOS BASE'!$V$94*N43,
 IF(N43&gt;'DADOS BASE'!$Q$93,'DADOS BASE'!$V$93*N43,0)))</f>
        <v>59.3</v>
      </c>
      <c r="R43" s="99">
        <f t="shared" si="2"/>
        <v>3.3984755573385289E-2</v>
      </c>
      <c r="S43" s="13"/>
      <c r="T43" s="156">
        <v>0.64665105899999997</v>
      </c>
      <c r="U43" s="87">
        <f>IF(T43&gt;='DADOS BASE'!$Z$85,'DADOS BASE'!$AA$85*T43,
 IF(T43&gt;='DADOS BASE'!$U$85,'DADOS BASE'!$V$85*T43,
 IF(T43&gt;='DADOS BASE'!$Q$85,'DADOS BASE'!$R$85*T43,0)))</f>
        <v>1.2933021179999999</v>
      </c>
      <c r="V43" s="86">
        <v>0.17719628200000001</v>
      </c>
      <c r="W43" s="87">
        <f>IF(V43&gt;='DADOS BASE'!$Z$86,'DADOS BASE'!$AA$86*V43,
 IF(V43&gt;='DADOS BASE'!$U$86,'DADOS BASE'!$V$86*V43,
 IF(V43&gt;='DADOS BASE'!$Q$86,'DADOS BASE'!$R$86*V43,0)))</f>
        <v>0.35439256400000002</v>
      </c>
      <c r="X43" s="86">
        <v>1.8632006999999999E-2</v>
      </c>
      <c r="Y43" s="87">
        <f>IF(X43&gt;='DADOS BASE'!$Z$87,'DADOS BASE'!$AA$87*X43,
 IF(X43&gt;='DADOS BASE'!$U$87,'DADOS BASE'!$V$87*X43,
 IF(X43&gt;='DADOS BASE'!$Q$87,'DADOS BASE'!$R$87*X43,0)))</f>
        <v>0</v>
      </c>
      <c r="Z43" s="86">
        <f>U43/$U$10*'DADOS BASE'!$N$85+
 W43/$W$10*'DADOS BASE'!$N$86+
 Y43/$Y$10*'DADOS BASE'!$N$87</f>
        <v>3.8283392400637273E-2</v>
      </c>
      <c r="AA43" s="99"/>
      <c r="AB43" s="13"/>
    </row>
    <row r="44" spans="1:28" x14ac:dyDescent="0.3">
      <c r="A44" s="13"/>
      <c r="B44">
        <v>3984</v>
      </c>
      <c r="C44" s="111" t="s">
        <v>686</v>
      </c>
      <c r="D44" s="112" t="s">
        <v>687</v>
      </c>
      <c r="E44" t="s">
        <v>919</v>
      </c>
      <c r="F44" s="13"/>
      <c r="G44" s="181">
        <v>0.32429999999999998</v>
      </c>
      <c r="H44" s="86">
        <v>0.32079999999999997</v>
      </c>
      <c r="I44" s="86">
        <v>0.35489999999999999</v>
      </c>
      <c r="J44" s="86">
        <v>0.503</v>
      </c>
      <c r="K44" s="88">
        <f>IF(J44&gt;'DADOS BASE'!$Q$79,'DADOS BASE'!$V$79*J44,
 IF(J44&gt;'DADOS BASE'!$Q$78,'DADOS BASE'!$V$78*J44,
 IF(J44&gt;'DADOS BASE'!$Q$77,'DADOS BASE'!$V$77*J44,
 IF(J44&gt;'DADOS BASE'!$Q$76,'DADOS BASE'!$V$76*J44,'DADOS BASE'!$V$75*J44))))</f>
        <v>0.75449999999999995</v>
      </c>
      <c r="L44" s="99">
        <f t="shared" si="1"/>
        <v>2.7758871249609095E-2</v>
      </c>
      <c r="M44" s="13"/>
      <c r="N44" s="160">
        <v>19.690000000000001</v>
      </c>
      <c r="O44" s="84">
        <v>12177.27</v>
      </c>
      <c r="P44" s="84">
        <v>618.5</v>
      </c>
      <c r="Q44" s="88">
        <f>IF(N44&gt;'DADOS BASE'!$Q$95,'DADOS BASE'!$V$95*N44,
 IF(N44&gt;'DADOS BASE'!$Q$94,'DADOS BASE'!$V$94*N44,
 IF(N44&gt;'DADOS BASE'!$Q$93,'DADOS BASE'!$V$93*N44,0)))</f>
        <v>19.690000000000001</v>
      </c>
      <c r="R44" s="99">
        <f t="shared" si="2"/>
        <v>1.1284314287351709E-2</v>
      </c>
      <c r="S44" s="13"/>
      <c r="T44" s="156">
        <v>0.47060982899999998</v>
      </c>
      <c r="U44" s="87">
        <f>IF(T44&gt;='DADOS BASE'!$Z$85,'DADOS BASE'!$AA$85*T44,
 IF(T44&gt;='DADOS BASE'!$U$85,'DADOS BASE'!$V$85*T44,
 IF(T44&gt;='DADOS BASE'!$Q$85,'DADOS BASE'!$R$85*T44,0)))</f>
        <v>0</v>
      </c>
      <c r="V44" s="86">
        <v>0.124505798</v>
      </c>
      <c r="W44" s="87">
        <f>IF(V44&gt;='DADOS BASE'!$Z$86,'DADOS BASE'!$AA$86*V44,
 IF(V44&gt;='DADOS BASE'!$U$86,'DADOS BASE'!$V$86*V44,
 IF(V44&gt;='DADOS BASE'!$Q$86,'DADOS BASE'!$R$86*V44,0)))</f>
        <v>0.124505798</v>
      </c>
      <c r="X44" s="86">
        <v>2.7845859999999999E-3</v>
      </c>
      <c r="Y44" s="87">
        <f>IF(X44&gt;='DADOS BASE'!$Z$87,'DADOS BASE'!$AA$87*X44,
 IF(X44&gt;='DADOS BASE'!$U$87,'DADOS BASE'!$V$87*X44,
 IF(X44&gt;='DADOS BASE'!$Q$87,'DADOS BASE'!$R$87*X44,0)))</f>
        <v>0</v>
      </c>
      <c r="Z44" s="86">
        <f>U44/$U$10*'DADOS BASE'!$N$85+
 W44/$W$10*'DADOS BASE'!$N$86+
 Y44/$Y$10*'DADOS BASE'!$N$87</f>
        <v>2.0770221187754018E-3</v>
      </c>
      <c r="AA44" s="99"/>
      <c r="AB44" s="13"/>
    </row>
    <row r="45" spans="1:28" x14ac:dyDescent="0.3">
      <c r="A45" s="13"/>
      <c r="B45">
        <v>3997</v>
      </c>
      <c r="C45" s="111" t="s">
        <v>698</v>
      </c>
      <c r="D45" s="112" t="s">
        <v>699</v>
      </c>
      <c r="E45" t="s">
        <v>920</v>
      </c>
      <c r="F45" s="13"/>
      <c r="G45" s="181">
        <v>0.54730000000000001</v>
      </c>
      <c r="H45" s="86">
        <v>0.35880000000000001</v>
      </c>
      <c r="I45" s="86">
        <v>9.3899999999999997E-2</v>
      </c>
      <c r="J45" s="86">
        <v>0.60399999999999998</v>
      </c>
      <c r="K45" s="88">
        <f>IF(J45&gt;'DADOS BASE'!$Q$79,'DADOS BASE'!$V$79*J45,
 IF(J45&gt;'DADOS BASE'!$Q$78,'DADOS BASE'!$V$78*J45,
 IF(J45&gt;'DADOS BASE'!$Q$77,'DADOS BASE'!$V$77*J45,
 IF(J45&gt;'DADOS BASE'!$Q$76,'DADOS BASE'!$V$76*J45,'DADOS BASE'!$V$75*J45))))</f>
        <v>1.51</v>
      </c>
      <c r="L45" s="99">
        <f t="shared" si="1"/>
        <v>5.5554533581059953E-2</v>
      </c>
      <c r="M45" s="13"/>
      <c r="N45" s="160">
        <v>12.95</v>
      </c>
      <c r="O45" s="84">
        <v>3814.66</v>
      </c>
      <c r="P45" s="84">
        <v>294.5</v>
      </c>
      <c r="Q45" s="88">
        <f>IF(N45&gt;'DADOS BASE'!$Q$95,'DADOS BASE'!$V$95*N45,
 IF(N45&gt;'DADOS BASE'!$Q$94,'DADOS BASE'!$V$94*N45,
 IF(N45&gt;'DADOS BASE'!$Q$93,'DADOS BASE'!$V$93*N45,0)))</f>
        <v>0</v>
      </c>
      <c r="R45" s="99">
        <f t="shared" si="2"/>
        <v>0</v>
      </c>
      <c r="S45" s="13"/>
      <c r="T45" s="156">
        <v>0.53361063900000005</v>
      </c>
      <c r="U45" s="87">
        <f>IF(T45&gt;='DADOS BASE'!$Z$85,'DADOS BASE'!$AA$85*T45,
 IF(T45&gt;='DADOS BASE'!$U$85,'DADOS BASE'!$V$85*T45,
 IF(T45&gt;='DADOS BASE'!$Q$85,'DADOS BASE'!$R$85*T45,0)))</f>
        <v>0.53361063900000005</v>
      </c>
      <c r="V45" s="86">
        <v>0.19578365</v>
      </c>
      <c r="W45" s="87">
        <f>IF(V45&gt;='DADOS BASE'!$Z$86,'DADOS BASE'!$AA$86*V45,
 IF(V45&gt;='DADOS BASE'!$U$86,'DADOS BASE'!$V$86*V45,
 IF(V45&gt;='DADOS BASE'!$Q$86,'DADOS BASE'!$R$86*V45,0)))</f>
        <v>0.39156730000000001</v>
      </c>
      <c r="X45" s="86">
        <v>2.7370055000000001E-2</v>
      </c>
      <c r="Y45" s="87">
        <f>IF(X45&gt;='DADOS BASE'!$Z$87,'DADOS BASE'!$AA$87*X45,
 IF(X45&gt;='DADOS BASE'!$U$87,'DADOS BASE'!$V$87*X45,
 IF(X45&gt;='DADOS BASE'!$Q$87,'DADOS BASE'!$R$87*X45,0)))</f>
        <v>2.7370055000000001E-2</v>
      </c>
      <c r="Z45" s="86">
        <f>U45/$U$10*'DADOS BASE'!$N$85+
 W45/$W$10*'DADOS BASE'!$N$86+
 Y45/$Y$10*'DADOS BASE'!$N$87</f>
        <v>2.1854055904053555E-2</v>
      </c>
      <c r="AA45" s="99"/>
      <c r="AB45" s="13"/>
    </row>
    <row r="46" spans="1:28" x14ac:dyDescent="0.3">
      <c r="A46" s="13"/>
      <c r="B46">
        <v>4004</v>
      </c>
      <c r="C46" s="111" t="s">
        <v>705</v>
      </c>
      <c r="D46" s="112" t="s">
        <v>706</v>
      </c>
      <c r="E46" t="s">
        <v>921</v>
      </c>
      <c r="F46" s="13"/>
      <c r="G46" s="181">
        <v>0.23930000000000001</v>
      </c>
      <c r="H46" s="86">
        <v>0.30969999999999998</v>
      </c>
      <c r="I46" s="86">
        <v>0.45100000000000001</v>
      </c>
      <c r="J46" s="86">
        <v>0.436</v>
      </c>
      <c r="K46" s="88">
        <f>IF(J46&gt;'DADOS BASE'!$Q$79,'DADOS BASE'!$V$79*J46,
 IF(J46&gt;'DADOS BASE'!$Q$78,'DADOS BASE'!$V$78*J46,
 IF(J46&gt;'DADOS BASE'!$Q$77,'DADOS BASE'!$V$77*J46,
 IF(J46&gt;'DADOS BASE'!$Q$76,'DADOS BASE'!$V$76*J46,'DADOS BASE'!$V$75*J46))))</f>
        <v>0.436</v>
      </c>
      <c r="L46" s="99">
        <f t="shared" si="1"/>
        <v>1.604091168300804E-2</v>
      </c>
      <c r="M46" s="13"/>
      <c r="N46" s="160">
        <v>19.399999999999999</v>
      </c>
      <c r="O46" s="84">
        <v>22376.91</v>
      </c>
      <c r="P46" s="84">
        <v>1153.5</v>
      </c>
      <c r="Q46" s="88">
        <f>IF(N46&gt;'DADOS BASE'!$Q$95,'DADOS BASE'!$V$95*N46,
 IF(N46&gt;'DADOS BASE'!$Q$94,'DADOS BASE'!$V$94*N46,
 IF(N46&gt;'DADOS BASE'!$Q$93,'DADOS BASE'!$V$93*N46,0)))</f>
        <v>19.399999999999999</v>
      </c>
      <c r="R46" s="99">
        <f t="shared" si="2"/>
        <v>1.1118115651326721E-2</v>
      </c>
      <c r="S46" s="13"/>
      <c r="T46" s="156">
        <v>0.49419025900000002</v>
      </c>
      <c r="U46" s="87">
        <f>IF(T46&gt;='DADOS BASE'!$Z$85,'DADOS BASE'!$AA$85*T46,
 IF(T46&gt;='DADOS BASE'!$U$85,'DADOS BASE'!$V$85*T46,
 IF(T46&gt;='DADOS BASE'!$Q$85,'DADOS BASE'!$R$85*T46,0)))</f>
        <v>0</v>
      </c>
      <c r="V46" s="86">
        <v>0.14181000599999999</v>
      </c>
      <c r="W46" s="87">
        <f>IF(V46&gt;='DADOS BASE'!$Z$86,'DADOS BASE'!$AA$86*V46,
 IF(V46&gt;='DADOS BASE'!$U$86,'DADOS BASE'!$V$86*V46,
 IF(V46&gt;='DADOS BASE'!$Q$86,'DADOS BASE'!$R$86*V46,0)))</f>
        <v>0.14181000599999999</v>
      </c>
      <c r="X46" s="86">
        <v>3.2104572999999997E-2</v>
      </c>
      <c r="Y46" s="87">
        <f>IF(X46&gt;='DADOS BASE'!$Z$87,'DADOS BASE'!$AA$87*X46,
 IF(X46&gt;='DADOS BASE'!$U$87,'DADOS BASE'!$V$87*X46,
 IF(X46&gt;='DADOS BASE'!$Q$87,'DADOS BASE'!$R$87*X46,0)))</f>
        <v>3.2104572999999997E-2</v>
      </c>
      <c r="Z46" s="86">
        <f>U46/$U$10*'DADOS BASE'!$N$85+
 W46/$W$10*'DADOS BASE'!$N$86+
 Y46/$Y$10*'DADOS BASE'!$N$87</f>
        <v>4.6713028652329985E-3</v>
      </c>
      <c r="AA46" s="99"/>
      <c r="AB46" s="13"/>
    </row>
    <row r="47" spans="1:28" x14ac:dyDescent="0.3">
      <c r="A47" s="13"/>
      <c r="B47">
        <v>3980</v>
      </c>
      <c r="C47" s="111" t="s">
        <v>705</v>
      </c>
      <c r="D47" s="112" t="s">
        <v>724</v>
      </c>
      <c r="E47" t="s">
        <v>922</v>
      </c>
      <c r="F47" s="13"/>
      <c r="G47" s="181">
        <v>0.42009999999999997</v>
      </c>
      <c r="H47" s="86">
        <v>0.48749999999999999</v>
      </c>
      <c r="I47" s="86">
        <v>9.2499999999999999E-2</v>
      </c>
      <c r="J47" s="86">
        <v>0.46300000000000002</v>
      </c>
      <c r="K47" s="88">
        <f>IF(J47&gt;'DADOS BASE'!$Q$79,'DADOS BASE'!$V$79*J47,
 IF(J47&gt;'DADOS BASE'!$Q$78,'DADOS BASE'!$V$78*J47,
 IF(J47&gt;'DADOS BASE'!$Q$77,'DADOS BASE'!$V$77*J47,
 IF(J47&gt;'DADOS BASE'!$Q$76,'DADOS BASE'!$V$76*J47,'DADOS BASE'!$V$75*J47))))</f>
        <v>0.46300000000000002</v>
      </c>
      <c r="L47" s="99">
        <f t="shared" si="1"/>
        <v>1.7034270892735601E-2</v>
      </c>
      <c r="M47" s="13"/>
      <c r="N47" s="160">
        <v>20.76</v>
      </c>
      <c r="O47" s="84">
        <v>15166.96</v>
      </c>
      <c r="P47" s="84">
        <v>730.5</v>
      </c>
      <c r="Q47" s="88">
        <f>IF(N47&gt;'DADOS BASE'!$Q$95,'DADOS BASE'!$V$95*N47,
 IF(N47&gt;'DADOS BASE'!$Q$94,'DADOS BASE'!$V$94*N47,
 IF(N47&gt;'DADOS BASE'!$Q$93,'DADOS BASE'!$V$93*N47,0)))</f>
        <v>41.52</v>
      </c>
      <c r="R47" s="99">
        <f t="shared" si="2"/>
        <v>2.3795059888818842E-2</v>
      </c>
      <c r="S47" s="13"/>
      <c r="T47" s="156">
        <v>0.48677100800000001</v>
      </c>
      <c r="U47" s="87">
        <f>IF(T47&gt;='DADOS BASE'!$Z$85,'DADOS BASE'!$AA$85*T47,
 IF(T47&gt;='DADOS BASE'!$U$85,'DADOS BASE'!$V$85*T47,
 IF(T47&gt;='DADOS BASE'!$Q$85,'DADOS BASE'!$R$85*T47,0)))</f>
        <v>0</v>
      </c>
      <c r="V47" s="86">
        <v>0.15763295799999999</v>
      </c>
      <c r="W47" s="87">
        <f>IF(V47&gt;='DADOS BASE'!$Z$86,'DADOS BASE'!$AA$86*V47,
 IF(V47&gt;='DADOS BASE'!$U$86,'DADOS BASE'!$V$86*V47,
 IF(V47&gt;='DADOS BASE'!$Q$86,'DADOS BASE'!$R$86*V47,0)))</f>
        <v>0.31526591599999998</v>
      </c>
      <c r="X47" s="86">
        <v>3.2210019999999999E-2</v>
      </c>
      <c r="Y47" s="87">
        <f>IF(X47&gt;='DADOS BASE'!$Z$87,'DADOS BASE'!$AA$87*X47,
 IF(X47&gt;='DADOS BASE'!$U$87,'DADOS BASE'!$V$87*X47,
 IF(X47&gt;='DADOS BASE'!$Q$87,'DADOS BASE'!$R$87*X47,0)))</f>
        <v>3.2210019999999999E-2</v>
      </c>
      <c r="Z47" s="86">
        <f>U47/$U$10*'DADOS BASE'!$N$85+
 W47/$W$10*'DADOS BASE'!$N$86+
 Y47/$Y$10*'DADOS BASE'!$N$87</f>
        <v>7.5724899399841113E-3</v>
      </c>
      <c r="AA47" s="99"/>
      <c r="AB47" s="13"/>
    </row>
    <row r="48" spans="1:28" x14ac:dyDescent="0.3">
      <c r="A48" s="13"/>
      <c r="B48">
        <v>4005</v>
      </c>
      <c r="C48" s="111" t="s">
        <v>705</v>
      </c>
      <c r="D48" s="112" t="s">
        <v>736</v>
      </c>
      <c r="E48" t="s">
        <v>923</v>
      </c>
      <c r="F48" s="13"/>
      <c r="G48" s="181">
        <v>0.26850000000000002</v>
      </c>
      <c r="H48" s="86">
        <v>0.44729999999999998</v>
      </c>
      <c r="I48" s="86">
        <v>0.28420000000000001</v>
      </c>
      <c r="J48" s="86">
        <v>0.375</v>
      </c>
      <c r="K48" s="88">
        <f>IF(J48&gt;'DADOS BASE'!$Q$79,'DADOS BASE'!$V$79*J48,
 IF(J48&gt;'DADOS BASE'!$Q$78,'DADOS BASE'!$V$78*J48,
 IF(J48&gt;'DADOS BASE'!$Q$77,'DADOS BASE'!$V$77*J48,
 IF(J48&gt;'DADOS BASE'!$Q$76,'DADOS BASE'!$V$76*J48,'DADOS BASE'!$V$75*J48))))</f>
        <v>0.1875</v>
      </c>
      <c r="L48" s="99">
        <f t="shared" si="1"/>
        <v>6.898327845330292E-3</v>
      </c>
      <c r="M48" s="13"/>
      <c r="N48" s="160">
        <v>20.190000000000001</v>
      </c>
      <c r="O48" s="84">
        <v>19514.57</v>
      </c>
      <c r="P48" s="84">
        <v>966.5</v>
      </c>
      <c r="Q48" s="88">
        <f>IF(N48&gt;'DADOS BASE'!$Q$95,'DADOS BASE'!$V$95*N48,
 IF(N48&gt;'DADOS BASE'!$Q$94,'DADOS BASE'!$V$94*N48,
 IF(N48&gt;'DADOS BASE'!$Q$93,'DADOS BASE'!$V$93*N48,0)))</f>
        <v>40.380000000000003</v>
      </c>
      <c r="R48" s="99">
        <f t="shared" si="2"/>
        <v>2.3141727319617167E-2</v>
      </c>
      <c r="S48" s="13"/>
      <c r="T48" s="156">
        <v>0.24118692899999999</v>
      </c>
      <c r="U48" s="87">
        <f>IF(T48&gt;='DADOS BASE'!$Z$85,'DADOS BASE'!$AA$85*T48,
 IF(T48&gt;='DADOS BASE'!$U$85,'DADOS BASE'!$V$85*T48,
 IF(T48&gt;='DADOS BASE'!$Q$85,'DADOS BASE'!$R$85*T48,0)))</f>
        <v>0</v>
      </c>
      <c r="V48" s="86">
        <v>0.14934761199999999</v>
      </c>
      <c r="W48" s="87">
        <f>IF(V48&gt;='DADOS BASE'!$Z$86,'DADOS BASE'!$AA$86*V48,
 IF(V48&gt;='DADOS BASE'!$U$86,'DADOS BASE'!$V$86*V48,
 IF(V48&gt;='DADOS BASE'!$Q$86,'DADOS BASE'!$R$86*V48,0)))</f>
        <v>0.14934761199999999</v>
      </c>
      <c r="X48" s="86">
        <v>1.3978454E-2</v>
      </c>
      <c r="Y48" s="87">
        <f>IF(X48&gt;='DADOS BASE'!$Z$87,'DADOS BASE'!$AA$87*X48,
 IF(X48&gt;='DADOS BASE'!$U$87,'DADOS BASE'!$V$87*X48,
 IF(X48&gt;='DADOS BASE'!$Q$87,'DADOS BASE'!$R$87*X48,0)))</f>
        <v>0</v>
      </c>
      <c r="Z48" s="86">
        <f>U48/$U$10*'DADOS BASE'!$N$85+
 W48/$W$10*'DADOS BASE'!$N$86+
 Y48/$Y$10*'DADOS BASE'!$N$87</f>
        <v>2.4914365314158836E-3</v>
      </c>
      <c r="AA48" s="99"/>
      <c r="AB48" s="13"/>
    </row>
    <row r="49" spans="1:28" x14ac:dyDescent="0.3">
      <c r="A49" s="13"/>
      <c r="B49">
        <v>3998</v>
      </c>
      <c r="C49" s="111" t="s">
        <v>752</v>
      </c>
      <c r="D49" s="112" t="s">
        <v>753</v>
      </c>
      <c r="E49" t="s">
        <v>924</v>
      </c>
      <c r="F49" s="13"/>
      <c r="G49" s="181">
        <v>0.52349999999999997</v>
      </c>
      <c r="H49" s="86">
        <v>0.3397</v>
      </c>
      <c r="I49" s="86">
        <v>0.1368</v>
      </c>
      <c r="J49" s="86">
        <v>0.60599999999999998</v>
      </c>
      <c r="K49" s="88">
        <f>IF(J49&gt;'DADOS BASE'!$Q$79,'DADOS BASE'!$V$79*J49,
 IF(J49&gt;'DADOS BASE'!$Q$78,'DADOS BASE'!$V$78*J49,
 IF(J49&gt;'DADOS BASE'!$Q$77,'DADOS BASE'!$V$77*J49,
 IF(J49&gt;'DADOS BASE'!$Q$76,'DADOS BASE'!$V$76*J49,'DADOS BASE'!$V$75*J49))))</f>
        <v>1.5149999999999999</v>
      </c>
      <c r="L49" s="99">
        <f t="shared" si="1"/>
        <v>5.5738488990268759E-2</v>
      </c>
      <c r="M49" s="13"/>
      <c r="N49" s="160">
        <v>21.3</v>
      </c>
      <c r="O49" s="84">
        <v>18875.72</v>
      </c>
      <c r="P49" s="84">
        <v>886</v>
      </c>
      <c r="Q49" s="88">
        <f>IF(N49&gt;'DADOS BASE'!$Q$95,'DADOS BASE'!$V$95*N49,
 IF(N49&gt;'DADOS BASE'!$Q$94,'DADOS BASE'!$V$94*N49,
 IF(N49&gt;'DADOS BASE'!$Q$93,'DADOS BASE'!$V$93*N49,0)))</f>
        <v>42.6</v>
      </c>
      <c r="R49" s="99">
        <f t="shared" si="2"/>
        <v>2.4414006533325688E-2</v>
      </c>
      <c r="S49" s="13"/>
      <c r="T49" s="156">
        <v>0.49937450999999999</v>
      </c>
      <c r="U49" s="87">
        <f>IF(T49&gt;='DADOS BASE'!$Z$85,'DADOS BASE'!$AA$85*T49,
 IF(T49&gt;='DADOS BASE'!$U$85,'DADOS BASE'!$V$85*T49,
 IF(T49&gt;='DADOS BASE'!$Q$85,'DADOS BASE'!$R$85*T49,0)))</f>
        <v>0</v>
      </c>
      <c r="V49" s="86">
        <v>0.13501875599999999</v>
      </c>
      <c r="W49" s="87">
        <f>IF(V49&gt;='DADOS BASE'!$Z$86,'DADOS BASE'!$AA$86*V49,
 IF(V49&gt;='DADOS BASE'!$U$86,'DADOS BASE'!$V$86*V49,
 IF(V49&gt;='DADOS BASE'!$Q$86,'DADOS BASE'!$R$86*V49,0)))</f>
        <v>0.13501875599999999</v>
      </c>
      <c r="X49" s="86">
        <v>1.8756706000000001E-2</v>
      </c>
      <c r="Y49" s="87">
        <f>IF(X49&gt;='DADOS BASE'!$Z$87,'DADOS BASE'!$AA$87*X49,
 IF(X49&gt;='DADOS BASE'!$U$87,'DADOS BASE'!$V$87*X49,
 IF(X49&gt;='DADOS BASE'!$Q$87,'DADOS BASE'!$R$87*X49,0)))</f>
        <v>0</v>
      </c>
      <c r="Z49" s="86">
        <f>U49/$U$10*'DADOS BASE'!$N$85+
 W49/$W$10*'DADOS BASE'!$N$86+
 Y49/$Y$10*'DADOS BASE'!$N$87</f>
        <v>2.2524006686141557E-3</v>
      </c>
      <c r="AA49" s="99"/>
      <c r="AB49" s="13"/>
    </row>
    <row r="50" spans="1:28" x14ac:dyDescent="0.3">
      <c r="A50" s="13"/>
      <c r="B50">
        <v>4011</v>
      </c>
      <c r="C50" s="111" t="s">
        <v>752</v>
      </c>
      <c r="D50" s="112" t="s">
        <v>769</v>
      </c>
      <c r="E50" t="s">
        <v>925</v>
      </c>
      <c r="F50" s="13"/>
      <c r="G50" s="181">
        <v>0.32129999999999997</v>
      </c>
      <c r="H50" s="86">
        <v>0.50049999999999994</v>
      </c>
      <c r="I50" s="86">
        <v>0.1782</v>
      </c>
      <c r="J50" s="86">
        <v>0.39100000000000001</v>
      </c>
      <c r="K50" s="88">
        <f>IF(J50&gt;'DADOS BASE'!$Q$79,'DADOS BASE'!$V$79*J50,
 IF(J50&gt;'DADOS BASE'!$Q$78,'DADOS BASE'!$V$78*J50,
 IF(J50&gt;'DADOS BASE'!$Q$77,'DADOS BASE'!$V$77*J50,
 IF(J50&gt;'DADOS BASE'!$Q$76,'DADOS BASE'!$V$76*J50,'DADOS BASE'!$V$75*J50))))</f>
        <v>0.19550000000000001</v>
      </c>
      <c r="L50" s="99">
        <f t="shared" si="1"/>
        <v>7.1926565000643853E-3</v>
      </c>
      <c r="M50" s="13"/>
      <c r="N50" s="160">
        <v>26.6</v>
      </c>
      <c r="O50" s="84">
        <v>37860.35</v>
      </c>
      <c r="P50" s="84">
        <v>1423.5</v>
      </c>
      <c r="Q50" s="88">
        <f>IF(N50&gt;'DADOS BASE'!$Q$95,'DADOS BASE'!$V$95*N50,
 IF(N50&gt;'DADOS BASE'!$Q$94,'DADOS BASE'!$V$94*N50,
 IF(N50&gt;'DADOS BASE'!$Q$93,'DADOS BASE'!$V$93*N50,0)))</f>
        <v>66.5</v>
      </c>
      <c r="R50" s="99">
        <f t="shared" si="2"/>
        <v>3.8111066536764278E-2</v>
      </c>
      <c r="S50" s="13"/>
      <c r="T50" s="156">
        <v>0.52543037199999998</v>
      </c>
      <c r="U50" s="87">
        <f>IF(T50&gt;='DADOS BASE'!$Z$85,'DADOS BASE'!$AA$85*T50,
 IF(T50&gt;='DADOS BASE'!$U$85,'DADOS BASE'!$V$85*T50,
 IF(T50&gt;='DADOS BASE'!$Q$85,'DADOS BASE'!$R$85*T50,0)))</f>
        <v>0.52543037199999998</v>
      </c>
      <c r="V50" s="86">
        <v>0.142489332</v>
      </c>
      <c r="W50" s="87">
        <f>IF(V50&gt;='DADOS BASE'!$Z$86,'DADOS BASE'!$AA$86*V50,
 IF(V50&gt;='DADOS BASE'!$U$86,'DADOS BASE'!$V$86*V50,
 IF(V50&gt;='DADOS BASE'!$Q$86,'DADOS BASE'!$R$86*V50,0)))</f>
        <v>0.142489332</v>
      </c>
      <c r="X50" s="86">
        <v>3.0115936999999999E-2</v>
      </c>
      <c r="Y50" s="87">
        <f>IF(X50&gt;='DADOS BASE'!$Z$87,'DADOS BASE'!$AA$87*X50,
 IF(X50&gt;='DADOS BASE'!$U$87,'DADOS BASE'!$V$87*X50,
 IF(X50&gt;='DADOS BASE'!$Q$87,'DADOS BASE'!$R$87*X50,0)))</f>
        <v>3.0115936999999999E-2</v>
      </c>
      <c r="Z50" s="86">
        <f>U50/$U$10*'DADOS BASE'!$N$85+
 W50/$W$10*'DADOS BASE'!$N$86+
 Y50/$Y$10*'DADOS BASE'!$N$87</f>
        <v>1.7691349455621549E-2</v>
      </c>
      <c r="AA50" s="99"/>
      <c r="AB50" s="13"/>
    </row>
    <row r="51" spans="1:28" x14ac:dyDescent="0.3">
      <c r="A51" s="13"/>
      <c r="B51">
        <v>4001</v>
      </c>
      <c r="C51" s="111" t="s">
        <v>793</v>
      </c>
      <c r="D51" s="112" t="s">
        <v>794</v>
      </c>
      <c r="E51" t="s">
        <v>926</v>
      </c>
      <c r="F51" s="13"/>
      <c r="G51" s="181">
        <v>0.3695</v>
      </c>
      <c r="H51" s="86">
        <v>0.44379999999999997</v>
      </c>
      <c r="I51" s="86">
        <v>0.18659999999999999</v>
      </c>
      <c r="J51" s="86">
        <v>0.45400000000000001</v>
      </c>
      <c r="K51" s="88">
        <f>IF(J51&gt;'DADOS BASE'!$Q$79,'DADOS BASE'!$V$79*J51,
 IF(J51&gt;'DADOS BASE'!$Q$78,'DADOS BASE'!$V$78*J51,
 IF(J51&gt;'DADOS BASE'!$Q$77,'DADOS BASE'!$V$77*J51,
 IF(J51&gt;'DADOS BASE'!$Q$76,'DADOS BASE'!$V$76*J51,'DADOS BASE'!$V$75*J51))))</f>
        <v>0.45400000000000001</v>
      </c>
      <c r="L51" s="99">
        <f t="shared" si="1"/>
        <v>1.6703151156159748E-2</v>
      </c>
      <c r="M51" s="13"/>
      <c r="N51" s="160">
        <v>24.46</v>
      </c>
      <c r="O51" s="84">
        <v>12145.28</v>
      </c>
      <c r="P51" s="84">
        <v>496.5</v>
      </c>
      <c r="Q51" s="88">
        <f>IF(N51&gt;'DADOS BASE'!$Q$95,'DADOS BASE'!$V$95*N51,
 IF(N51&gt;'DADOS BASE'!$Q$94,'DADOS BASE'!$V$94*N51,
 IF(N51&gt;'DADOS BASE'!$Q$93,'DADOS BASE'!$V$93*N51,0)))</f>
        <v>61.150000000000006</v>
      </c>
      <c r="R51" s="99">
        <f t="shared" si="2"/>
        <v>3.5044988251475728E-2</v>
      </c>
      <c r="S51" s="13"/>
      <c r="T51" s="156">
        <v>0.67957594899999996</v>
      </c>
      <c r="U51" s="87">
        <f>IF(T51&gt;='DADOS BASE'!$Z$85,'DADOS BASE'!$AA$85*T51,
 IF(T51&gt;='DADOS BASE'!$U$85,'DADOS BASE'!$V$85*T51,
 IF(T51&gt;='DADOS BASE'!$Q$85,'DADOS BASE'!$R$85*T51,0)))</f>
        <v>1.3591518979999999</v>
      </c>
      <c r="V51" s="86">
        <v>6.8124665000000001E-2</v>
      </c>
      <c r="W51" s="87">
        <f>IF(V51&gt;='DADOS BASE'!$Z$86,'DADOS BASE'!$AA$86*V51,
 IF(V51&gt;='DADOS BASE'!$U$86,'DADOS BASE'!$V$86*V51,
 IF(V51&gt;='DADOS BASE'!$Q$86,'DADOS BASE'!$R$86*V51,0)))</f>
        <v>0</v>
      </c>
      <c r="X51" s="86">
        <v>1.3723989000000001E-2</v>
      </c>
      <c r="Y51" s="87">
        <f>IF(X51&gt;='DADOS BASE'!$Z$87,'DADOS BASE'!$AA$87*X51,
 IF(X51&gt;='DADOS BASE'!$U$87,'DADOS BASE'!$V$87*X51,
 IF(X51&gt;='DADOS BASE'!$Q$87,'DADOS BASE'!$R$87*X51,0)))</f>
        <v>0</v>
      </c>
      <c r="Z51" s="86">
        <f>U51/$U$10*'DADOS BASE'!$N$85+
 W51/$W$10*'DADOS BASE'!$N$86+
 Y51/$Y$10*'DADOS BASE'!$N$87</f>
        <v>3.4019589834087365E-2</v>
      </c>
      <c r="AA51" s="99"/>
      <c r="AB51" s="13"/>
    </row>
    <row r="52" spans="1:28" x14ac:dyDescent="0.3">
      <c r="A52" s="13"/>
      <c r="B52">
        <v>4010</v>
      </c>
      <c r="C52" s="111" t="s">
        <v>804</v>
      </c>
      <c r="D52" s="112" t="s">
        <v>805</v>
      </c>
      <c r="E52" t="s">
        <v>927</v>
      </c>
      <c r="F52" s="13"/>
      <c r="G52" s="181">
        <v>0.43609999999999999</v>
      </c>
      <c r="H52" s="86">
        <v>0.42209999999999998</v>
      </c>
      <c r="I52" s="86">
        <v>0.14180000000000001</v>
      </c>
      <c r="J52" s="86">
        <v>0.50800000000000001</v>
      </c>
      <c r="K52" s="88">
        <f>IF(J52&gt;'DADOS BASE'!$Q$79,'DADOS BASE'!$V$79*J52,
 IF(J52&gt;'DADOS BASE'!$Q$78,'DADOS BASE'!$V$78*J52,
 IF(J52&gt;'DADOS BASE'!$Q$77,'DADOS BASE'!$V$77*J52,
 IF(J52&gt;'DADOS BASE'!$Q$76,'DADOS BASE'!$V$76*J52,'DADOS BASE'!$V$75*J52))))</f>
        <v>0.76200000000000001</v>
      </c>
      <c r="L52" s="99">
        <f t="shared" si="1"/>
        <v>2.803480436342231E-2</v>
      </c>
      <c r="M52" s="13"/>
      <c r="N52" s="160">
        <v>22.75</v>
      </c>
      <c r="O52" s="84">
        <v>59134.239999999998</v>
      </c>
      <c r="P52" s="84">
        <v>2599</v>
      </c>
      <c r="Q52" s="88">
        <f>IF(N52&gt;'DADOS BASE'!$Q$95,'DADOS BASE'!$V$95*N52,
 IF(N52&gt;'DADOS BASE'!$Q$94,'DADOS BASE'!$V$94*N52,
 IF(N52&gt;'DADOS BASE'!$Q$93,'DADOS BASE'!$V$93*N52,0)))</f>
        <v>56.875</v>
      </c>
      <c r="R52" s="99">
        <f t="shared" si="2"/>
        <v>3.2594991116969445E-2</v>
      </c>
      <c r="S52" s="13"/>
      <c r="T52" s="156">
        <v>0.47647108300000002</v>
      </c>
      <c r="U52" s="87">
        <f>IF(T52&gt;='DADOS BASE'!$Z$85,'DADOS BASE'!$AA$85*T52,
 IF(T52&gt;='DADOS BASE'!$U$85,'DADOS BASE'!$V$85*T52,
 IF(T52&gt;='DADOS BASE'!$Q$85,'DADOS BASE'!$R$85*T52,0)))</f>
        <v>0</v>
      </c>
      <c r="V52" s="86">
        <v>0.18875703399999999</v>
      </c>
      <c r="W52" s="87">
        <f>IF(V52&gt;='DADOS BASE'!$Z$86,'DADOS BASE'!$AA$86*V52,
 IF(V52&gt;='DADOS BASE'!$U$86,'DADOS BASE'!$V$86*V52,
 IF(V52&gt;='DADOS BASE'!$Q$86,'DADOS BASE'!$R$86*V52,0)))</f>
        <v>0.37751406799999998</v>
      </c>
      <c r="X52" s="86">
        <v>1.7515764E-2</v>
      </c>
      <c r="Y52" s="87">
        <f>IF(X52&gt;='DADOS BASE'!$Z$87,'DADOS BASE'!$AA$87*X52,
 IF(X52&gt;='DADOS BASE'!$U$87,'DADOS BASE'!$V$87*X52,
 IF(X52&gt;='DADOS BASE'!$Q$87,'DADOS BASE'!$R$87*X52,0)))</f>
        <v>0</v>
      </c>
      <c r="Z52" s="86">
        <f>U52/$U$10*'DADOS BASE'!$N$85+
 W52/$W$10*'DADOS BASE'!$N$86+
 Y52/$Y$10*'DADOS BASE'!$N$87</f>
        <v>6.2977393983281102E-3</v>
      </c>
      <c r="AA52" s="99"/>
      <c r="AB52" s="13"/>
    </row>
    <row r="53" spans="1:28" ht="15.75" customHeight="1" x14ac:dyDescent="0.3">
      <c r="A53" s="13"/>
      <c r="B53">
        <v>3979</v>
      </c>
      <c r="C53" s="113" t="s">
        <v>843</v>
      </c>
      <c r="D53" s="114" t="s">
        <v>844</v>
      </c>
      <c r="E53" t="s">
        <v>928</v>
      </c>
      <c r="F53" s="13"/>
      <c r="G53" s="182">
        <v>0.3367</v>
      </c>
      <c r="H53" s="159">
        <v>0.50680000000000003</v>
      </c>
      <c r="I53" s="159">
        <v>0.1565</v>
      </c>
      <c r="J53" s="159">
        <v>0.39900000000000002</v>
      </c>
      <c r="K53" s="100">
        <f>IF(J53&gt;'DADOS BASE'!$Q$79,'DADOS BASE'!$V$79*J53,
 IF(J53&gt;'DADOS BASE'!$Q$78,'DADOS BASE'!$V$78*J53,
 IF(J53&gt;'DADOS BASE'!$Q$77,'DADOS BASE'!$V$77*J53,
 IF(J53&gt;'DADOS BASE'!$Q$76,'DADOS BASE'!$V$76*J53,'DADOS BASE'!$V$75*J53))))</f>
        <v>0.19950000000000001</v>
      </c>
      <c r="L53" s="101">
        <f t="shared" si="1"/>
        <v>7.339820827431431E-3</v>
      </c>
      <c r="M53" s="13"/>
      <c r="N53" s="161">
        <v>23.31</v>
      </c>
      <c r="O53" s="162">
        <v>14718.99</v>
      </c>
      <c r="P53" s="162">
        <v>631.5</v>
      </c>
      <c r="Q53" s="100">
        <f>IF(N53&gt;'DADOS BASE'!$Q$95,'DADOS BASE'!$V$95*N53,
 IF(N53&gt;'DADOS BASE'!$Q$94,'DADOS BASE'!$V$94*N53,
 IF(N53&gt;'DADOS BASE'!$Q$93,'DADOS BASE'!$V$93*N53,0)))</f>
        <v>58.274999999999999</v>
      </c>
      <c r="R53" s="101">
        <f t="shared" si="2"/>
        <v>3.3397329359848696E-2</v>
      </c>
      <c r="S53" s="13"/>
      <c r="T53" s="157">
        <v>0.58116811353398001</v>
      </c>
      <c r="U53" s="158">
        <f>IF(T53&gt;='DADOS BASE'!$Z$85,'DADOS BASE'!$AA$85*T53,
 IF(T53&gt;='DADOS BASE'!$U$85,'DADOS BASE'!$V$85*T53,
 IF(T53&gt;='DADOS BASE'!$Q$85,'DADOS BASE'!$R$85*T53,0)))</f>
        <v>0.58116811353398001</v>
      </c>
      <c r="V53" s="159">
        <v>0.11458310449322</v>
      </c>
      <c r="W53" s="158">
        <f>IF(V53&gt;='DADOS BASE'!$Z$86,'DADOS BASE'!$AA$86*V53,
 IF(V53&gt;='DADOS BASE'!$U$86,'DADOS BASE'!$V$86*V53,
 IF(V53&gt;='DADOS BASE'!$Q$86,'DADOS BASE'!$R$86*V53,0)))</f>
        <v>0.11458310449322</v>
      </c>
      <c r="X53" s="159">
        <v>2.2564494803965999E-2</v>
      </c>
      <c r="Y53" s="158">
        <f>IF(X53&gt;='DADOS BASE'!$Z$87,'DADOS BASE'!$AA$87*X53,
 IF(X53&gt;='DADOS BASE'!$U$87,'DADOS BASE'!$V$87*X53,
 IF(X53&gt;='DADOS BASE'!$Q$87,'DADOS BASE'!$R$87*X53,0)))</f>
        <v>0</v>
      </c>
      <c r="Z53" s="159">
        <f>U53/$U$10*'DADOS BASE'!$N$85+
 W53/$W$10*'DADOS BASE'!$N$86+
 Y53/$Y$10*'DADOS BASE'!$N$87</f>
        <v>1.6458135943521263E-2</v>
      </c>
      <c r="AA53" s="101"/>
      <c r="AB53" s="13"/>
    </row>
    <row r="54" spans="1:28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47"/>
      <c r="P54" s="147"/>
      <c r="Q54" s="148"/>
      <c r="R54" s="147"/>
      <c r="S54" s="147"/>
      <c r="T54" s="13"/>
      <c r="U54" s="149"/>
      <c r="V54" s="13"/>
      <c r="W54" s="150"/>
      <c r="X54" s="140"/>
      <c r="Y54" s="150"/>
      <c r="Z54" s="13"/>
      <c r="AA54" s="13"/>
      <c r="AB54" s="13"/>
    </row>
  </sheetData>
  <sheetProtection formatCells="0" formatColumns="0" formatRows="0" insertColumns="0" insertRows="0" insertHyperlinks="0" deleteColumns="0" deleteRows="0" sort="0" autoFilter="0" pivotTables="0"/>
  <mergeCells count="4">
    <mergeCell ref="C2:AA4"/>
    <mergeCell ref="T6:AA6"/>
    <mergeCell ref="G6:L6"/>
    <mergeCell ref="N6:R6"/>
  </mergeCells>
  <pageMargins left="0.511811024" right="0.511811024" top="0.78740157499999996" bottom="0.78740157499999996" header="0.31496062000000002" footer="0.31496062000000002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DADOS BASE</vt:lpstr>
      <vt:lpstr>MATRIZ COMPLETO PROPOSTA</vt:lpstr>
      <vt:lpstr>MATRIZ RESUMO PROPOSTA</vt:lpstr>
      <vt:lpstr>INDICADORES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Narak</dc:creator>
  <cp:keywords/>
  <dc:description/>
  <cp:lastModifiedBy>IFSP</cp:lastModifiedBy>
  <dcterms:created xsi:type="dcterms:W3CDTF">2022-05-24T15:55:53Z</dcterms:created>
  <dcterms:modified xsi:type="dcterms:W3CDTF">2023-03-14T19:39:34Z</dcterms:modified>
  <cp:category/>
</cp:coreProperties>
</file>